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toria\Desktop\"/>
    </mc:Choice>
  </mc:AlternateContent>
  <bookViews>
    <workbookView xWindow="0" yWindow="0" windowWidth="18825" windowHeight="7815" tabRatio="946" activeTab="4"/>
  </bookViews>
  <sheets>
    <sheet name="Budget Ordinances" sheetId="31729" r:id="rId1"/>
    <sheet name="Title Page" sheetId="3" r:id="rId2"/>
    <sheet name=" Table of contents" sheetId="31714" r:id="rId3"/>
    <sheet name=" Budget message" sheetId="31731" r:id="rId4"/>
    <sheet name="Consolidated Budget" sheetId="4" r:id="rId5"/>
    <sheet name="Capital Outlay Budget Request" sheetId="31717" r:id="rId6"/>
    <sheet name="General Fund" sheetId="6" r:id="rId7"/>
    <sheet name="Sales Tax Funds" sheetId="7" r:id="rId8"/>
    <sheet name="Debt Service Funds" sheetId="8" r:id="rId9"/>
    <sheet name="capital projects fund" sheetId="9" r:id="rId10"/>
    <sheet name="Utility Fund" sheetId="31712" r:id="rId11"/>
    <sheet name="Utility Fund - analysis by dept" sheetId="1488" r:id="rId12"/>
    <sheet name="Estimating Schedules-Divider " sheetId="31726" r:id="rId13"/>
    <sheet name="Estimating Schedule - GF" sheetId="31720" r:id="rId14"/>
    <sheet name="Estimating Schedule - SRF" sheetId="31721" r:id="rId15"/>
    <sheet name="Estimating Schedule - DSF" sheetId="31722" r:id="rId16"/>
    <sheet name="Estimating Schedule - UF" sheetId="31725" r:id="rId17"/>
    <sheet name="Estimating Schedule - CPF" sheetId="31723" r:id="rId18"/>
  </sheets>
  <externalReferences>
    <externalReference r:id="rId19"/>
    <externalReference r:id="rId20"/>
    <externalReference r:id="rId21"/>
    <externalReference r:id="rId22"/>
    <externalReference r:id="rId23"/>
  </externalReferences>
  <definedNames>
    <definedName name="\E" localSheetId="3">#REF!</definedName>
    <definedName name="\E" localSheetId="0">'Budget Ordinances'!#REF!</definedName>
    <definedName name="\E">#REF!</definedName>
    <definedName name="__3" localSheetId="3">'[1]Title Page:General Fund'!$A$2:$J$703</definedName>
    <definedName name="__3">'[2]Title Page:General Fund'!$A$2:$J$703</definedName>
    <definedName name="_1" localSheetId="3">' Budget message'!#REF!</definedName>
    <definedName name="_1" localSheetId="2">' Table of contents'!#REF!</definedName>
    <definedName name="_1" localSheetId="0">'Budget Ordinances'!#REF!</definedName>
    <definedName name="_1" localSheetId="5">#REF!</definedName>
    <definedName name="_1">#REF!</definedName>
    <definedName name="_2" localSheetId="3">#REF!</definedName>
    <definedName name="_2" localSheetId="2">#REF!</definedName>
    <definedName name="_2" localSheetId="0">'[3]Publication :Consolidated Budget'!$A$2:$Q$392</definedName>
    <definedName name="_2" localSheetId="5">'[4]Title Page: Budget message'!$A$2:$Q$392</definedName>
    <definedName name="_2">'Title Page:Consolidated Budget'!$A$2:$Q$392</definedName>
    <definedName name="_3" localSheetId="3">#REF!</definedName>
    <definedName name="_3" localSheetId="2">#REF!</definedName>
    <definedName name="_3" localSheetId="0">'Budget Ordinances'!$B$3:$I$269</definedName>
    <definedName name="_3" localSheetId="5">'[4]Title Page:General Fund'!$A$2:$J$703</definedName>
    <definedName name="_3" localSheetId="13">#REF!</definedName>
    <definedName name="_3">'Title Page:General Fund'!$A$2:$J$703</definedName>
    <definedName name="_E" localSheetId="0">'Budget Ordinances'!#REF!</definedName>
    <definedName name="_E">#REF!</definedName>
    <definedName name="_Fill" localSheetId="0" hidden="1">'Budget Ordinances'!#REF!</definedName>
    <definedName name="_Fill" hidden="1">#REF!</definedName>
    <definedName name="_xlnm.Print_Area" localSheetId="3">' Budget message'!$A$1:$C$48</definedName>
    <definedName name="_xlnm.Print_Area" localSheetId="2">' Table of contents'!$A$1:$H$40</definedName>
    <definedName name="_xlnm.Print_Area" localSheetId="0">'Budget Ordinances'!$A$1:$H$120</definedName>
    <definedName name="_xlnm.Print_Area" localSheetId="5">'Capital Outlay Budget Request'!$A$1:$K$45</definedName>
    <definedName name="_xlnm.Print_Area" localSheetId="9">'capital projects fund'!$B$1:$I$35</definedName>
    <definedName name="_xlnm.Print_Area" localSheetId="4">'Consolidated Budget'!$A$1:$F$52</definedName>
    <definedName name="_xlnm.Print_Area" localSheetId="8">'Debt Service Funds'!$A$1:$Q$33</definedName>
    <definedName name="_xlnm.Print_Area" localSheetId="17">'Estimating Schedule - CPF'!$B$1:$J$35</definedName>
    <definedName name="_xlnm.Print_Area" localSheetId="15">'Estimating Schedule - DSF'!$A$1:$M$41</definedName>
    <definedName name="_xlnm.Print_Area" localSheetId="13">'Estimating Schedule - GF'!$A$1:$K$193</definedName>
    <definedName name="_xlnm.Print_Area" localSheetId="14">'Estimating Schedule - SRF'!$A$1:$W$55</definedName>
    <definedName name="_xlnm.Print_Area" localSheetId="16">'Estimating Schedule - UF'!$A$1:$AI$47</definedName>
    <definedName name="_xlnm.Print_Area" localSheetId="6">'General Fund'!$A$1:$I$201</definedName>
    <definedName name="_xlnm.Print_Area" localSheetId="7">'Sales Tax Funds'!$A$1:$T$62</definedName>
    <definedName name="_xlnm.Print_Area" localSheetId="1">'Title Page'!$A$1:$C$33</definedName>
    <definedName name="_xlnm.Print_Area" localSheetId="10">'Utility Fund'!$A$1:$H$62</definedName>
    <definedName name="_xlnm.Print_Area" localSheetId="11">'Utility Fund - analysis by dept'!$A$1:$AG$49</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1" i="31717" l="1"/>
  <c r="C41" i="31717"/>
  <c r="E30" i="31717"/>
  <c r="C30" i="31717"/>
  <c r="N40" i="7"/>
  <c r="P40" i="7"/>
  <c r="R40" i="7"/>
  <c r="I31" i="6" l="1"/>
  <c r="G11" i="31721"/>
  <c r="G26" i="8"/>
  <c r="W43" i="1488"/>
  <c r="J54" i="31725"/>
  <c r="K50" i="31721"/>
  <c r="D51" i="7"/>
  <c r="I25" i="31720"/>
  <c r="E25" i="31720"/>
  <c r="E190" i="6" l="1"/>
  <c r="E195" i="6" l="1"/>
  <c r="E188" i="6"/>
  <c r="E187" i="6"/>
  <c r="G31" i="6" l="1"/>
  <c r="C31" i="6"/>
  <c r="G121" i="6" l="1"/>
  <c r="G119" i="31720"/>
  <c r="E119" i="31720"/>
  <c r="E22" i="31717" l="1"/>
  <c r="E32" i="31717" s="1"/>
  <c r="E43" i="31717" s="1"/>
  <c r="C22" i="31717"/>
  <c r="C32" i="31717" s="1"/>
  <c r="C43" i="31717" s="1"/>
  <c r="L42" i="31725"/>
  <c r="R42" i="31725"/>
  <c r="F42" i="31725"/>
  <c r="C161" i="6"/>
  <c r="C158" i="6"/>
  <c r="H46" i="31712"/>
  <c r="F46" i="31712"/>
  <c r="H54" i="31712" l="1"/>
  <c r="E47" i="31721"/>
  <c r="F50" i="7"/>
  <c r="J30" i="7" l="1"/>
  <c r="R13" i="7"/>
  <c r="Z43" i="31725"/>
  <c r="Q48" i="31721"/>
  <c r="Q12" i="31721"/>
  <c r="S12" i="31721"/>
  <c r="M12" i="31721"/>
  <c r="I186" i="31720"/>
  <c r="G186" i="31720"/>
  <c r="E186" i="31720"/>
  <c r="C186" i="31720"/>
  <c r="I183" i="31720"/>
  <c r="U12" i="31721" l="1"/>
  <c r="E143" i="31720" l="1"/>
  <c r="I72" i="31720"/>
  <c r="I73" i="31720"/>
  <c r="I74" i="31720"/>
  <c r="I75" i="31720"/>
  <c r="I76" i="31720"/>
  <c r="I77" i="31720"/>
  <c r="I78" i="31720"/>
  <c r="I79" i="31720"/>
  <c r="I80" i="31720"/>
  <c r="I81" i="31720"/>
  <c r="N13" i="7" l="1"/>
  <c r="P35" i="4"/>
  <c r="P34" i="4"/>
  <c r="F35" i="4"/>
  <c r="F34" i="4"/>
  <c r="D35" i="4"/>
  <c r="D34" i="4"/>
  <c r="B35" i="4"/>
  <c r="B34" i="4"/>
  <c r="AE23" i="31725" l="1"/>
  <c r="AC23" i="31725"/>
  <c r="Z23" i="31725"/>
  <c r="T23" i="31725"/>
  <c r="N23" i="31725"/>
  <c r="H23" i="31725"/>
  <c r="AG23" i="31725" s="1"/>
  <c r="AI23" i="31725" s="1"/>
  <c r="A5" i="31722"/>
  <c r="I184" i="31720"/>
  <c r="I99" i="31720"/>
  <c r="K99" i="31720" s="1"/>
  <c r="J13" i="7"/>
  <c r="P13" i="7" s="1"/>
  <c r="T13" i="7" s="1"/>
  <c r="B30" i="7"/>
  <c r="D39" i="7"/>
  <c r="U38" i="31721"/>
  <c r="W38" i="31721" s="1"/>
  <c r="S38" i="31721"/>
  <c r="M38" i="31721"/>
  <c r="G38" i="31721"/>
  <c r="C181" i="6"/>
  <c r="C164" i="6"/>
  <c r="C175" i="6"/>
  <c r="C116" i="6"/>
  <c r="C107" i="6"/>
  <c r="C110" i="6"/>
  <c r="C79" i="6"/>
  <c r="C85" i="6"/>
  <c r="AE30" i="1488" l="1"/>
  <c r="AB44" i="31725"/>
  <c r="AC43" i="31725"/>
  <c r="AC42" i="31725"/>
  <c r="AE43" i="31725" l="1"/>
  <c r="AA23" i="1488" l="1"/>
  <c r="AC23" i="1488"/>
  <c r="AE23" i="1488"/>
  <c r="H19" i="31712" s="1"/>
  <c r="B33" i="7"/>
  <c r="N25" i="7"/>
  <c r="P25" i="7"/>
  <c r="R25" i="7"/>
  <c r="H53" i="31712" l="1"/>
  <c r="M49" i="31721"/>
  <c r="J52" i="7" s="1"/>
  <c r="N52" i="7"/>
  <c r="G182" i="6" l="1"/>
  <c r="AE27" i="1488" l="1"/>
  <c r="H24" i="31712" s="1"/>
  <c r="P44" i="31725"/>
  <c r="H22" i="31725"/>
  <c r="H24" i="31725"/>
  <c r="H25" i="31725"/>
  <c r="H26" i="31725"/>
  <c r="H27" i="31725"/>
  <c r="H28" i="31725"/>
  <c r="H29" i="31725"/>
  <c r="H30" i="31725"/>
  <c r="H31" i="31725"/>
  <c r="H32" i="31725"/>
  <c r="H33" i="31725"/>
  <c r="H34" i="31725"/>
  <c r="H35" i="31725"/>
  <c r="H36" i="31725"/>
  <c r="H37" i="31725"/>
  <c r="H38" i="31725"/>
  <c r="H39" i="31725"/>
  <c r="H40" i="31725"/>
  <c r="H41" i="31725"/>
  <c r="H42" i="31725"/>
  <c r="H43" i="31725"/>
  <c r="E14" i="31721"/>
  <c r="E20" i="31721"/>
  <c r="E32" i="31721"/>
  <c r="E51" i="31721"/>
  <c r="B42" i="4"/>
  <c r="E41" i="31721" l="1"/>
  <c r="E44" i="31721" s="1"/>
  <c r="E55" i="31721" s="1"/>
  <c r="O51" i="31721"/>
  <c r="K56" i="1488" l="1"/>
  <c r="K55" i="1488"/>
  <c r="K54" i="1488"/>
  <c r="M56" i="1488"/>
  <c r="M55" i="1488"/>
  <c r="M54" i="1488"/>
  <c r="X44" i="31725"/>
  <c r="L54" i="31725"/>
  <c r="N54" i="31725" s="1"/>
  <c r="R19" i="7"/>
  <c r="E84" i="6"/>
  <c r="I84" i="6" s="1"/>
  <c r="L55" i="31725"/>
  <c r="L56" i="31725"/>
  <c r="AE37" i="31725" l="1"/>
  <c r="F48" i="31725"/>
  <c r="D48" i="31725"/>
  <c r="J56" i="31725"/>
  <c r="J55" i="31725"/>
  <c r="X46" i="31721"/>
  <c r="T27" i="31722"/>
  <c r="L42" i="4"/>
  <c r="Y20" i="31721"/>
  <c r="Y19" i="31721" s="1"/>
  <c r="Y23" i="31721" s="1"/>
  <c r="X20" i="31721"/>
  <c r="X19" i="31721" s="1"/>
  <c r="Y22" i="31721" s="1"/>
  <c r="L178" i="31720"/>
  <c r="L179" i="31720"/>
  <c r="M143" i="31720"/>
  <c r="I134" i="31720"/>
  <c r="L180" i="31720" l="1"/>
  <c r="J57" i="31725"/>
  <c r="Z23" i="31721"/>
  <c r="L57" i="31725"/>
  <c r="Z22" i="31721"/>
  <c r="E83" i="6"/>
  <c r="I83" i="6" s="1"/>
  <c r="L47" i="31720"/>
  <c r="M47" i="31720" s="1"/>
  <c r="K173" i="6"/>
  <c r="K171" i="6"/>
  <c r="M178" i="6" l="1"/>
  <c r="AB19" i="31725"/>
  <c r="O32" i="31721"/>
  <c r="C180" i="31720"/>
  <c r="C115" i="31720"/>
  <c r="I113" i="31720"/>
  <c r="U44" i="1488"/>
  <c r="C182" i="6"/>
  <c r="J182" i="6" s="1"/>
  <c r="C86" i="6"/>
  <c r="K113" i="31720" l="1"/>
  <c r="E115" i="6"/>
  <c r="AB46" i="31725"/>
  <c r="C13" i="6"/>
  <c r="K32" i="31721"/>
  <c r="R20" i="7" l="1"/>
  <c r="I141" i="31720" l="1"/>
  <c r="K141" i="31720" s="1"/>
  <c r="AA43" i="1488"/>
  <c r="D39" i="31712" s="1"/>
  <c r="AK204" i="31731"/>
  <c r="AD204" i="31731"/>
  <c r="Y204" i="31731"/>
  <c r="X204" i="31731"/>
  <c r="U204" i="31731"/>
  <c r="T204" i="31731"/>
  <c r="Q204" i="31731"/>
  <c r="P204" i="31731"/>
  <c r="AI201" i="31731"/>
  <c r="AI208" i="31731" s="1"/>
  <c r="Z201" i="31731"/>
  <c r="Z208" i="31731" s="1"/>
  <c r="V201" i="31731"/>
  <c r="V208" i="31731" s="1"/>
  <c r="R201" i="31731"/>
  <c r="R208" i="31731" s="1"/>
  <c r="AK198" i="31731"/>
  <c r="AD198" i="31731"/>
  <c r="Y198" i="31731"/>
  <c r="X198" i="31731"/>
  <c r="U198" i="31731"/>
  <c r="T198" i="31731"/>
  <c r="Q198" i="31731"/>
  <c r="P198" i="31731"/>
  <c r="AK196" i="31731"/>
  <c r="AK201" i="31731" s="1"/>
  <c r="AK208" i="31731" s="1"/>
  <c r="AD196" i="31731"/>
  <c r="Y196" i="31731"/>
  <c r="X196" i="31731"/>
  <c r="U196" i="31731"/>
  <c r="U201" i="31731" s="1"/>
  <c r="T196" i="31731"/>
  <c r="T201" i="31731" s="1"/>
  <c r="Q196" i="31731"/>
  <c r="Q201" i="31731" s="1"/>
  <c r="P196" i="31731"/>
  <c r="AB198" i="31731" l="1"/>
  <c r="U208" i="31731"/>
  <c r="Q208" i="31731"/>
  <c r="AC198" i="31731"/>
  <c r="AC204" i="31731"/>
  <c r="AD201" i="31731"/>
  <c r="AD208" i="31731" s="1"/>
  <c r="E143" i="6"/>
  <c r="I143" i="6" s="1"/>
  <c r="Y201" i="31731"/>
  <c r="Y208" i="31731" s="1"/>
  <c r="X201" i="31731"/>
  <c r="X208" i="31731" s="1"/>
  <c r="AB196" i="31731"/>
  <c r="AB201" i="31731" s="1"/>
  <c r="T208" i="31731"/>
  <c r="AB204" i="31731"/>
  <c r="AC196" i="31731"/>
  <c r="AC201" i="31731" s="1"/>
  <c r="AC208" i="31731" s="1"/>
  <c r="P201" i="31731"/>
  <c r="P208" i="31731" s="1"/>
  <c r="AB208" i="31731" l="1"/>
  <c r="G195" i="6"/>
  <c r="C195" i="6"/>
  <c r="N43" i="31725" l="1"/>
  <c r="K43" i="1488" s="1"/>
  <c r="I167" i="31720" l="1"/>
  <c r="L53" i="7"/>
  <c r="M50" i="31721"/>
  <c r="Q50" i="31721"/>
  <c r="E169" i="6" l="1"/>
  <c r="I169" i="6" s="1"/>
  <c r="K167" i="31720"/>
  <c r="G48" i="31721"/>
  <c r="G50" i="31721"/>
  <c r="D53" i="7" s="1"/>
  <c r="G47" i="31721"/>
  <c r="D50" i="7" s="1"/>
  <c r="G49" i="31721"/>
  <c r="D52" i="7" s="1"/>
  <c r="P52" i="7" s="1"/>
  <c r="S39" i="31721"/>
  <c r="C42" i="7"/>
  <c r="E42" i="7"/>
  <c r="F42" i="7"/>
  <c r="G42" i="7"/>
  <c r="H42" i="7"/>
  <c r="I42" i="7"/>
  <c r="K42" i="7"/>
  <c r="L42" i="7"/>
  <c r="M42" i="7"/>
  <c r="O42" i="7"/>
  <c r="Q42" i="7"/>
  <c r="S42" i="7"/>
  <c r="B42" i="7"/>
  <c r="R41" i="7"/>
  <c r="N39" i="7"/>
  <c r="N41" i="7"/>
  <c r="Q39" i="31721"/>
  <c r="M39" i="31721"/>
  <c r="G39" i="31721"/>
  <c r="D41" i="7" s="1"/>
  <c r="U50" i="31721" l="1"/>
  <c r="W50" i="31721" s="1"/>
  <c r="J41" i="7"/>
  <c r="P41" i="7" s="1"/>
  <c r="U39" i="31721"/>
  <c r="I135" i="31720"/>
  <c r="E137" i="6" s="1"/>
  <c r="I102" i="31720"/>
  <c r="W39" i="31721" l="1"/>
  <c r="E104" i="6"/>
  <c r="I104" i="6" s="1"/>
  <c r="B15" i="4"/>
  <c r="N10" i="31725"/>
  <c r="T10" i="31725" s="1"/>
  <c r="Z10" i="31725" s="1"/>
  <c r="AG10" i="31725" s="1"/>
  <c r="N15" i="31725"/>
  <c r="G44" i="1488"/>
  <c r="E10" i="1488"/>
  <c r="K10" i="1488" s="1"/>
  <c r="Q10" i="1488" s="1"/>
  <c r="W10" i="1488" s="1"/>
  <c r="AC10" i="1488" s="1"/>
  <c r="F7" i="31712"/>
  <c r="H7" i="31712" s="1"/>
  <c r="G9" i="9"/>
  <c r="I9" i="9" s="1"/>
  <c r="G9" i="8"/>
  <c r="I9" i="8" s="1"/>
  <c r="D9" i="7"/>
  <c r="J9" i="7" s="1"/>
  <c r="E7" i="6"/>
  <c r="E95" i="6" s="1"/>
  <c r="F9" i="4"/>
  <c r="AA36" i="1488"/>
  <c r="AA39" i="1488"/>
  <c r="N42" i="7"/>
  <c r="D29" i="7"/>
  <c r="P29" i="7" s="1"/>
  <c r="S28" i="31721"/>
  <c r="Q28" i="31721"/>
  <c r="S27" i="31721"/>
  <c r="Q27" i="31721"/>
  <c r="D28" i="7"/>
  <c r="P28" i="7" s="1"/>
  <c r="R28" i="7"/>
  <c r="N28" i="7"/>
  <c r="G145" i="6"/>
  <c r="G20" i="6" s="1"/>
  <c r="G143" i="31720"/>
  <c r="I61" i="31720"/>
  <c r="I32" i="31720"/>
  <c r="E30" i="6" s="1"/>
  <c r="K81" i="31720"/>
  <c r="I185" i="31720"/>
  <c r="I164" i="31720"/>
  <c r="K164" i="31720" s="1"/>
  <c r="C32" i="31721"/>
  <c r="C23" i="6"/>
  <c r="C117" i="6"/>
  <c r="M30" i="31720"/>
  <c r="E115" i="31720"/>
  <c r="G200" i="6"/>
  <c r="G22" i="6" s="1"/>
  <c r="O19" i="31722"/>
  <c r="I160" i="31720"/>
  <c r="I171" i="31720"/>
  <c r="I169" i="31720"/>
  <c r="I168" i="31720"/>
  <c r="I166" i="31720"/>
  <c r="E168" i="6" s="1"/>
  <c r="I168" i="6" s="1"/>
  <c r="I162" i="31720"/>
  <c r="I48" i="31720"/>
  <c r="E53" i="6" s="1"/>
  <c r="I53" i="6" s="1"/>
  <c r="AE43" i="1488"/>
  <c r="H39" i="31712" s="1"/>
  <c r="I170" i="31720"/>
  <c r="E172" i="6" s="1"/>
  <c r="I172" i="6" s="1"/>
  <c r="I190" i="31720"/>
  <c r="G191" i="31720"/>
  <c r="E191" i="31720"/>
  <c r="E24" i="31720" s="1"/>
  <c r="A4" i="31723"/>
  <c r="F15" i="31723"/>
  <c r="H15" i="31723"/>
  <c r="J15" i="31723"/>
  <c r="F22" i="31723"/>
  <c r="H22" i="31723"/>
  <c r="J22" i="31723"/>
  <c r="J24" i="31723" s="1"/>
  <c r="J30" i="31723" s="1"/>
  <c r="A4" i="31725"/>
  <c r="H15" i="31725"/>
  <c r="T15" i="31725"/>
  <c r="Q15" i="1488" s="1"/>
  <c r="F12" i="31712" s="1"/>
  <c r="AC15" i="31725"/>
  <c r="N17" i="31725"/>
  <c r="K17" i="1488" s="1"/>
  <c r="T17" i="31725"/>
  <c r="Q17" i="1488" s="1"/>
  <c r="AC17" i="31725"/>
  <c r="H18" i="31725"/>
  <c r="E18" i="1488" s="1"/>
  <c r="N18" i="31725"/>
  <c r="K18" i="1488" s="1"/>
  <c r="T18" i="31725"/>
  <c r="Q18" i="1488" s="1"/>
  <c r="AC18" i="31725"/>
  <c r="D19" i="31725"/>
  <c r="J19" i="31725"/>
  <c r="L19" i="31725"/>
  <c r="P19" i="31725"/>
  <c r="P46" i="31725" s="1"/>
  <c r="R19" i="31725"/>
  <c r="V19" i="31725"/>
  <c r="E22" i="1488"/>
  <c r="N22" i="31725"/>
  <c r="K22" i="1488" s="1"/>
  <c r="T22" i="31725"/>
  <c r="Q22" i="1488" s="1"/>
  <c r="Z22" i="31725"/>
  <c r="AE22" i="1488" s="1"/>
  <c r="AC22" i="31725"/>
  <c r="AE22" i="31725"/>
  <c r="E24" i="1488"/>
  <c r="N24" i="31725"/>
  <c r="K24" i="1488" s="1"/>
  <c r="T24" i="31725"/>
  <c r="Z24" i="31725"/>
  <c r="AE24" i="1488" s="1"/>
  <c r="AC24" i="31725"/>
  <c r="AE24" i="31725"/>
  <c r="E25" i="1488"/>
  <c r="N25" i="31725"/>
  <c r="K25" i="1488" s="1"/>
  <c r="T25" i="31725"/>
  <c r="Q25" i="1488" s="1"/>
  <c r="Z25" i="31725"/>
  <c r="AE25" i="1488" s="1"/>
  <c r="AC25" i="31725"/>
  <c r="AE25" i="31725"/>
  <c r="N26" i="31725"/>
  <c r="K26" i="1488" s="1"/>
  <c r="T26" i="31725"/>
  <c r="Q26" i="1488" s="1"/>
  <c r="Z26" i="31725"/>
  <c r="AC26" i="31725"/>
  <c r="AE26" i="31725"/>
  <c r="E27" i="1488"/>
  <c r="N27" i="31725"/>
  <c r="K27" i="1488" s="1"/>
  <c r="T27" i="31725"/>
  <c r="Q27" i="1488" s="1"/>
  <c r="Z27" i="31725"/>
  <c r="AC27" i="31725"/>
  <c r="AE27" i="31725"/>
  <c r="N28" i="31725"/>
  <c r="K28" i="1488" s="1"/>
  <c r="T28" i="31725"/>
  <c r="Q28" i="1488" s="1"/>
  <c r="Z28" i="31725"/>
  <c r="AE28" i="1488" s="1"/>
  <c r="AC28" i="31725"/>
  <c r="AE28" i="31725"/>
  <c r="K29" i="1488"/>
  <c r="T29" i="31725"/>
  <c r="Q29" i="1488" s="1"/>
  <c r="Z29" i="31725"/>
  <c r="AE29" i="1488" s="1"/>
  <c r="AC29" i="31725"/>
  <c r="AE29" i="31725"/>
  <c r="E30" i="1488"/>
  <c r="N30" i="31725"/>
  <c r="K30" i="1488" s="1"/>
  <c r="T30" i="31725"/>
  <c r="Z30" i="31725"/>
  <c r="AC30" i="31725"/>
  <c r="AE30" i="31725"/>
  <c r="N31" i="31725"/>
  <c r="Z31" i="31725"/>
  <c r="AC31" i="31725"/>
  <c r="AE31" i="31725"/>
  <c r="N32" i="31725"/>
  <c r="K32" i="1488" s="1"/>
  <c r="T32" i="31725"/>
  <c r="Q32" i="1488" s="1"/>
  <c r="Z32" i="31725"/>
  <c r="W32" i="1488" s="1"/>
  <c r="AC32" i="31725"/>
  <c r="AE32" i="31725"/>
  <c r="N33" i="31725"/>
  <c r="K33" i="1488" s="1"/>
  <c r="T33" i="31725"/>
  <c r="Q33" i="1488" s="1"/>
  <c r="Z33" i="31725"/>
  <c r="W33" i="1488" s="1"/>
  <c r="AC33" i="31725"/>
  <c r="AE33" i="31725"/>
  <c r="E34" i="1488"/>
  <c r="N34" i="31725"/>
  <c r="K34" i="1488" s="1"/>
  <c r="T34" i="31725"/>
  <c r="Q34" i="1488" s="1"/>
  <c r="Z34" i="31725"/>
  <c r="W34" i="1488" s="1"/>
  <c r="AC34" i="31725"/>
  <c r="AE34" i="31725"/>
  <c r="E35" i="1488"/>
  <c r="N35" i="31725"/>
  <c r="T35" i="31725"/>
  <c r="Q35" i="1488" s="1"/>
  <c r="Z35" i="31725"/>
  <c r="AC35" i="31725"/>
  <c r="AE35" i="31725"/>
  <c r="E36" i="1488"/>
  <c r="N36" i="31725"/>
  <c r="K36" i="1488" s="1"/>
  <c r="T36" i="31725"/>
  <c r="Q36" i="1488" s="1"/>
  <c r="Z36" i="31725"/>
  <c r="W36" i="1488" s="1"/>
  <c r="AC36" i="31725"/>
  <c r="AE36" i="31725"/>
  <c r="E37" i="1488"/>
  <c r="N37" i="31725"/>
  <c r="K37" i="1488" s="1"/>
  <c r="T37" i="31725"/>
  <c r="Q37" i="1488" s="1"/>
  <c r="Z37" i="31725"/>
  <c r="W37" i="1488" s="1"/>
  <c r="AC37" i="31725"/>
  <c r="E38" i="1488"/>
  <c r="N38" i="31725"/>
  <c r="K38" i="1488" s="1"/>
  <c r="T38" i="31725"/>
  <c r="Z38" i="31725"/>
  <c r="AC38" i="31725"/>
  <c r="AE38" i="31725"/>
  <c r="E39" i="1488"/>
  <c r="N39" i="31725"/>
  <c r="K39" i="1488" s="1"/>
  <c r="T39" i="31725"/>
  <c r="Q39" i="1488" s="1"/>
  <c r="Z39" i="31725"/>
  <c r="W39" i="1488" s="1"/>
  <c r="AC39" i="31725"/>
  <c r="AE39" i="31725"/>
  <c r="E40" i="1488"/>
  <c r="N40" i="31725"/>
  <c r="K40" i="1488" s="1"/>
  <c r="T40" i="31725"/>
  <c r="Q40" i="1488" s="1"/>
  <c r="Z40" i="31725"/>
  <c r="AE40" i="1488" s="1"/>
  <c r="H36" i="31712" s="1"/>
  <c r="AC40" i="31725"/>
  <c r="AE40" i="31725"/>
  <c r="N41" i="31725"/>
  <c r="K41" i="1488" s="1"/>
  <c r="T41" i="31725"/>
  <c r="Q41" i="1488" s="1"/>
  <c r="Z41" i="31725"/>
  <c r="AC41" i="31725"/>
  <c r="AE41" i="31725"/>
  <c r="E42" i="1488"/>
  <c r="N42" i="31725"/>
  <c r="K42" i="1488" s="1"/>
  <c r="T42" i="31725"/>
  <c r="Q42" i="1488" s="1"/>
  <c r="Z42" i="31725"/>
  <c r="AE42" i="31725"/>
  <c r="F44" i="31725"/>
  <c r="L44" i="31725"/>
  <c r="R44" i="31725"/>
  <c r="F57" i="31725"/>
  <c r="O10" i="31722"/>
  <c r="Q10" i="31722"/>
  <c r="S10" i="31722"/>
  <c r="K14" i="31722"/>
  <c r="G13" i="8" s="1"/>
  <c r="O14" i="31722"/>
  <c r="Q14" i="31722"/>
  <c r="Q24" i="31722"/>
  <c r="O24" i="31722"/>
  <c r="O30" i="31722" s="1"/>
  <c r="K18" i="31722"/>
  <c r="G17" i="8" s="1"/>
  <c r="M17" i="8" s="1"/>
  <c r="M20" i="8" s="1"/>
  <c r="O18" i="31722"/>
  <c r="O21" i="31722" s="1"/>
  <c r="Q18" i="31722"/>
  <c r="Q21" i="31722" s="1"/>
  <c r="Q19" i="31722"/>
  <c r="K20" i="31722"/>
  <c r="O20" i="31722"/>
  <c r="Q20" i="31722"/>
  <c r="E21" i="31722"/>
  <c r="E24" i="31722" s="1"/>
  <c r="E30" i="31722" s="1"/>
  <c r="A4" i="31721"/>
  <c r="M8" i="31721"/>
  <c r="U8" i="31721"/>
  <c r="M11" i="31721"/>
  <c r="J12" i="7" s="1"/>
  <c r="Q11" i="31721"/>
  <c r="S11" i="31721"/>
  <c r="D14" i="7"/>
  <c r="M13" i="31721"/>
  <c r="J14" i="7" s="1"/>
  <c r="Q13" i="31721"/>
  <c r="S13" i="31721"/>
  <c r="C14" i="31721"/>
  <c r="I14" i="31721"/>
  <c r="K14" i="31721"/>
  <c r="O14" i="31721"/>
  <c r="D19" i="7"/>
  <c r="M18" i="31721"/>
  <c r="J19" i="7" s="1"/>
  <c r="Q18" i="31721"/>
  <c r="S18" i="31721"/>
  <c r="D20" i="7"/>
  <c r="M19" i="31721"/>
  <c r="Q19" i="31721"/>
  <c r="S19" i="31721"/>
  <c r="C20" i="31721"/>
  <c r="I20" i="31721"/>
  <c r="K20" i="31721"/>
  <c r="K41" i="31721" s="1"/>
  <c r="O20" i="31721"/>
  <c r="O41" i="31721" s="1"/>
  <c r="M23" i="31721"/>
  <c r="J24" i="7" s="1"/>
  <c r="Q23" i="31721"/>
  <c r="S23" i="31721"/>
  <c r="D26" i="7"/>
  <c r="M25" i="31721"/>
  <c r="J26" i="7" s="1"/>
  <c r="Q25" i="31721"/>
  <c r="S25" i="31721"/>
  <c r="D27" i="7"/>
  <c r="M26" i="31721"/>
  <c r="J27" i="7" s="1"/>
  <c r="Q26" i="31721"/>
  <c r="S26" i="31721"/>
  <c r="D30" i="7"/>
  <c r="M29" i="31721"/>
  <c r="S29" i="31721"/>
  <c r="D31" i="7"/>
  <c r="M30" i="31721"/>
  <c r="J31" i="7" s="1"/>
  <c r="Q30" i="31721"/>
  <c r="S30" i="31721"/>
  <c r="D32" i="7"/>
  <c r="M31" i="31721"/>
  <c r="J32" i="7" s="1"/>
  <c r="Q31" i="31721"/>
  <c r="S31" i="31721"/>
  <c r="I32" i="31721"/>
  <c r="D36" i="7"/>
  <c r="M35" i="31721"/>
  <c r="J36" i="7" s="1"/>
  <c r="Q35" i="31721"/>
  <c r="S35" i="31721"/>
  <c r="D42" i="7"/>
  <c r="J42" i="7"/>
  <c r="Q47" i="31721"/>
  <c r="Q49" i="31721"/>
  <c r="S49" i="31721"/>
  <c r="S50" i="31721"/>
  <c r="K27" i="31722" s="1"/>
  <c r="C51" i="31721"/>
  <c r="I51" i="31721"/>
  <c r="E15" i="31720"/>
  <c r="C17" i="31720"/>
  <c r="H22" i="31720"/>
  <c r="H23" i="31720"/>
  <c r="C26" i="31720"/>
  <c r="A41" i="31720"/>
  <c r="E44" i="31720"/>
  <c r="G44" i="31720"/>
  <c r="I44" i="31720"/>
  <c r="I47" i="31720"/>
  <c r="I50" i="31720"/>
  <c r="E55" i="6" s="1"/>
  <c r="I55" i="6" s="1"/>
  <c r="C51" i="31720"/>
  <c r="E51" i="31720"/>
  <c r="E12" i="31720" s="1"/>
  <c r="I54" i="31720"/>
  <c r="K54" i="31720" s="1"/>
  <c r="I55" i="31720"/>
  <c r="E60" i="6" s="1"/>
  <c r="C56" i="31720"/>
  <c r="E56" i="31720"/>
  <c r="E13" i="31720" s="1"/>
  <c r="G56" i="31720"/>
  <c r="I60" i="31720"/>
  <c r="E65" i="6" s="1"/>
  <c r="I62" i="31720"/>
  <c r="E67" i="6" s="1"/>
  <c r="I67" i="6" s="1"/>
  <c r="I63" i="31720"/>
  <c r="K63" i="31720" s="1"/>
  <c r="I64" i="31720"/>
  <c r="E69" i="6" s="1"/>
  <c r="I69" i="6" s="1"/>
  <c r="I65" i="31720"/>
  <c r="K65" i="31720" s="1"/>
  <c r="C66" i="31720"/>
  <c r="E66" i="31720"/>
  <c r="E14" i="31720" s="1"/>
  <c r="I69" i="31720"/>
  <c r="E73" i="6" s="1"/>
  <c r="E76" i="6"/>
  <c r="E78" i="6"/>
  <c r="I78" i="6" s="1"/>
  <c r="C82" i="31720"/>
  <c r="A89" i="31720"/>
  <c r="E93" i="31720"/>
  <c r="G93" i="31720"/>
  <c r="I93" i="31720"/>
  <c r="I97" i="31720"/>
  <c r="K97" i="31720" s="1"/>
  <c r="I98" i="31720"/>
  <c r="E100" i="6" s="1"/>
  <c r="I100" i="6" s="1"/>
  <c r="I100" i="31720"/>
  <c r="K100" i="31720" s="1"/>
  <c r="I101" i="31720"/>
  <c r="K101" i="31720" s="1"/>
  <c r="I103" i="31720"/>
  <c r="K103" i="31720" s="1"/>
  <c r="I104" i="31720"/>
  <c r="E106" i="6" s="1"/>
  <c r="I106" i="6" s="1"/>
  <c r="I105" i="31720"/>
  <c r="K105" i="31720" s="1"/>
  <c r="I106" i="31720"/>
  <c r="K106" i="31720" s="1"/>
  <c r="I107" i="31720"/>
  <c r="E109" i="6" s="1"/>
  <c r="I109" i="6" s="1"/>
  <c r="I108" i="31720"/>
  <c r="K108" i="31720" s="1"/>
  <c r="I109" i="31720"/>
  <c r="K109" i="31720" s="1"/>
  <c r="I110" i="31720"/>
  <c r="E112" i="6" s="1"/>
  <c r="I112" i="6" s="1"/>
  <c r="I111" i="31720"/>
  <c r="E113" i="6" s="1"/>
  <c r="I113" i="6" s="1"/>
  <c r="I112" i="31720"/>
  <c r="E114" i="6" s="1"/>
  <c r="I114" i="6" s="1"/>
  <c r="G115" i="31720"/>
  <c r="I118" i="31720"/>
  <c r="E120" i="6" s="1"/>
  <c r="I120" i="6" s="1"/>
  <c r="I121" i="31720"/>
  <c r="K121" i="31720" s="1"/>
  <c r="I122" i="31720"/>
  <c r="E124" i="6" s="1"/>
  <c r="I124" i="6" s="1"/>
  <c r="I123" i="31720"/>
  <c r="K123" i="31720" s="1"/>
  <c r="I124" i="31720"/>
  <c r="E126" i="6" s="1"/>
  <c r="I125" i="31720"/>
  <c r="E127" i="6" s="1"/>
  <c r="I127" i="6" s="1"/>
  <c r="I126" i="31720"/>
  <c r="E128" i="6" s="1"/>
  <c r="I128" i="6" s="1"/>
  <c r="I127" i="31720"/>
  <c r="K127" i="31720" s="1"/>
  <c r="I128" i="31720"/>
  <c r="K128" i="31720" s="1"/>
  <c r="I129" i="31720"/>
  <c r="K129" i="31720" s="1"/>
  <c r="I130" i="31720"/>
  <c r="E132" i="6" s="1"/>
  <c r="I132" i="6" s="1"/>
  <c r="I131" i="31720"/>
  <c r="E133" i="6" s="1"/>
  <c r="I133" i="6" s="1"/>
  <c r="I132" i="31720"/>
  <c r="E134" i="6" s="1"/>
  <c r="I134" i="6" s="1"/>
  <c r="I133" i="31720"/>
  <c r="E135" i="6" s="1"/>
  <c r="I135" i="6" s="1"/>
  <c r="E136" i="6"/>
  <c r="I136" i="6" s="1"/>
  <c r="I136" i="31720"/>
  <c r="K136" i="31720" s="1"/>
  <c r="I137" i="31720"/>
  <c r="E139" i="6" s="1"/>
  <c r="I139" i="6" s="1"/>
  <c r="I138" i="31720"/>
  <c r="E140" i="6" s="1"/>
  <c r="I140" i="6" s="1"/>
  <c r="I139" i="31720"/>
  <c r="K139" i="31720" s="1"/>
  <c r="I140" i="31720"/>
  <c r="I142" i="31720"/>
  <c r="K142" i="31720" s="1"/>
  <c r="C143" i="31720"/>
  <c r="A148" i="31720"/>
  <c r="E152" i="31720"/>
  <c r="G152" i="31720"/>
  <c r="I152" i="31720"/>
  <c r="I155" i="31720"/>
  <c r="E156" i="6" s="1"/>
  <c r="I156" i="6" s="1"/>
  <c r="I156" i="31720"/>
  <c r="E157" i="6" s="1"/>
  <c r="I157" i="6" s="1"/>
  <c r="I157" i="31720"/>
  <c r="K157" i="31720" s="1"/>
  <c r="I159" i="31720"/>
  <c r="E160" i="6" s="1"/>
  <c r="I160" i="6" s="1"/>
  <c r="I163" i="31720"/>
  <c r="K163" i="31720" s="1"/>
  <c r="I173" i="31720"/>
  <c r="K173" i="31720" s="1"/>
  <c r="I174" i="31720"/>
  <c r="E176" i="6" s="1"/>
  <c r="I176" i="6" s="1"/>
  <c r="I176" i="31720"/>
  <c r="E178" i="6" s="1"/>
  <c r="I178" i="6" s="1"/>
  <c r="I177" i="31720"/>
  <c r="K177" i="31720" s="1"/>
  <c r="I178" i="31720"/>
  <c r="K178" i="31720" s="1"/>
  <c r="I179" i="31720"/>
  <c r="G180" i="31720"/>
  <c r="H25" i="31720"/>
  <c r="C191" i="31720"/>
  <c r="F191" i="31720"/>
  <c r="H191" i="31720"/>
  <c r="H24" i="31720" s="1"/>
  <c r="A5" i="1488"/>
  <c r="I10" i="1488"/>
  <c r="O10" i="1488" s="1"/>
  <c r="U10" i="1488" s="1"/>
  <c r="AA10" i="1488" s="1"/>
  <c r="AA15" i="1488"/>
  <c r="AE15" i="1488"/>
  <c r="AA16" i="1488"/>
  <c r="AE16" i="1488"/>
  <c r="AA17" i="1488"/>
  <c r="AE17" i="1488"/>
  <c r="H13" i="31712" s="1"/>
  <c r="AA18" i="1488"/>
  <c r="AE18" i="1488"/>
  <c r="H14" i="31712" s="1"/>
  <c r="P17" i="4" s="1"/>
  <c r="C19" i="1488"/>
  <c r="G19" i="1488"/>
  <c r="I19" i="1488"/>
  <c r="M19" i="1488"/>
  <c r="O19" i="1488"/>
  <c r="S19" i="1488"/>
  <c r="U19" i="1488"/>
  <c r="U46" i="1488" s="1"/>
  <c r="Y19" i="1488"/>
  <c r="W22" i="1488"/>
  <c r="AA22" i="1488"/>
  <c r="AJ22" i="1488" s="1"/>
  <c r="W24" i="1488"/>
  <c r="AA24" i="1488"/>
  <c r="W25" i="1488"/>
  <c r="AA25" i="1488"/>
  <c r="W26" i="1488"/>
  <c r="AE26" i="1488"/>
  <c r="H23" i="31712" s="1"/>
  <c r="AA26" i="1488"/>
  <c r="AA27" i="1488"/>
  <c r="E28" i="1488"/>
  <c r="AA28" i="1488"/>
  <c r="E29" i="1488"/>
  <c r="AA29" i="1488"/>
  <c r="D20" i="31712" s="1"/>
  <c r="Q30" i="1488"/>
  <c r="AA30" i="1488"/>
  <c r="H26" i="31712"/>
  <c r="E31" i="1488"/>
  <c r="K31" i="1488"/>
  <c r="Q31" i="1488"/>
  <c r="AA31" i="1488"/>
  <c r="D27" i="31712" s="1"/>
  <c r="AE31" i="1488"/>
  <c r="H27" i="31712" s="1"/>
  <c r="E32" i="1488"/>
  <c r="AA32" i="1488"/>
  <c r="AE32" i="1488"/>
  <c r="H28" i="31712" s="1"/>
  <c r="E33" i="1488"/>
  <c r="AA33" i="1488"/>
  <c r="AE33" i="1488"/>
  <c r="H29" i="31712" s="1"/>
  <c r="AA34" i="1488"/>
  <c r="AE34" i="1488"/>
  <c r="H30" i="31712" s="1"/>
  <c r="K35" i="1488"/>
  <c r="AA35" i="1488"/>
  <c r="AE35" i="1488"/>
  <c r="H31" i="31712" s="1"/>
  <c r="AE36" i="1488"/>
  <c r="H32" i="31712" s="1"/>
  <c r="AA37" i="1488"/>
  <c r="AE37" i="1488"/>
  <c r="H33" i="31712" s="1"/>
  <c r="Q38" i="1488"/>
  <c r="AA38" i="1488"/>
  <c r="AE38" i="1488"/>
  <c r="H34" i="31712" s="1"/>
  <c r="AE39" i="1488"/>
  <c r="H35" i="31712" s="1"/>
  <c r="W40" i="1488"/>
  <c r="AA40" i="1488"/>
  <c r="W41" i="1488"/>
  <c r="AE41" i="1488"/>
  <c r="AA41" i="1488"/>
  <c r="W42" i="1488"/>
  <c r="AE42" i="1488"/>
  <c r="AA42" i="1488"/>
  <c r="C44" i="1488"/>
  <c r="I44" i="1488"/>
  <c r="M44" i="1488"/>
  <c r="O44" i="1488"/>
  <c r="S44" i="1488"/>
  <c r="E57" i="1488"/>
  <c r="A4" i="31712"/>
  <c r="H10" i="31712"/>
  <c r="H11" i="31712"/>
  <c r="H12" i="31712"/>
  <c r="G20" i="31712"/>
  <c r="G37" i="31712"/>
  <c r="D48" i="31712"/>
  <c r="F48" i="31712"/>
  <c r="H48" i="31712"/>
  <c r="D55" i="31712"/>
  <c r="A4" i="9"/>
  <c r="B4" i="9"/>
  <c r="G13" i="9"/>
  <c r="G14" i="9"/>
  <c r="E15" i="9"/>
  <c r="I15" i="9"/>
  <c r="G20" i="9"/>
  <c r="G21" i="9"/>
  <c r="E22" i="9"/>
  <c r="I22" i="9"/>
  <c r="G27" i="9"/>
  <c r="K9" i="8"/>
  <c r="M9" i="8"/>
  <c r="O9" i="8"/>
  <c r="K13" i="8"/>
  <c r="O13" i="8"/>
  <c r="K17" i="8"/>
  <c r="K20" i="8" s="1"/>
  <c r="O17" i="8"/>
  <c r="O20" i="8" s="1"/>
  <c r="K18" i="8"/>
  <c r="O18" i="8"/>
  <c r="K19" i="8"/>
  <c r="O19" i="8"/>
  <c r="E20" i="8"/>
  <c r="E23" i="8" s="1"/>
  <c r="E29" i="8" s="1"/>
  <c r="I20" i="8"/>
  <c r="L26" i="4" s="1"/>
  <c r="L28" i="4" s="1"/>
  <c r="K23" i="8"/>
  <c r="O23" i="8"/>
  <c r="K26" i="8"/>
  <c r="O26" i="8"/>
  <c r="K31" i="8"/>
  <c r="A5" i="7"/>
  <c r="H9" i="7"/>
  <c r="N9" i="7"/>
  <c r="N12" i="7"/>
  <c r="R12" i="7"/>
  <c r="J12" i="4" s="1"/>
  <c r="N14" i="7"/>
  <c r="R14" i="7"/>
  <c r="B15" i="7"/>
  <c r="F15" i="7"/>
  <c r="H15" i="7"/>
  <c r="L15" i="7"/>
  <c r="N19" i="7"/>
  <c r="N20" i="7"/>
  <c r="B21" i="7"/>
  <c r="F21" i="7"/>
  <c r="H21" i="7"/>
  <c r="L21" i="7"/>
  <c r="N24" i="7"/>
  <c r="R24" i="7"/>
  <c r="N26" i="7"/>
  <c r="R26" i="7"/>
  <c r="N27" i="7"/>
  <c r="R27" i="7"/>
  <c r="R29" i="7"/>
  <c r="N30" i="7"/>
  <c r="R30" i="7"/>
  <c r="N31" i="7"/>
  <c r="R31" i="7"/>
  <c r="N32" i="7"/>
  <c r="R32" i="7"/>
  <c r="F33" i="7"/>
  <c r="H33" i="7"/>
  <c r="L33" i="7"/>
  <c r="N36" i="7"/>
  <c r="R36" i="7"/>
  <c r="J24" i="4" s="1"/>
  <c r="R39" i="7"/>
  <c r="N50" i="7"/>
  <c r="R50" i="7"/>
  <c r="J42" i="4" s="1"/>
  <c r="N51" i="7"/>
  <c r="R51" i="7"/>
  <c r="R52" i="7"/>
  <c r="P42" i="4" s="1"/>
  <c r="N53" i="7"/>
  <c r="R53" i="7"/>
  <c r="B55" i="7"/>
  <c r="F55" i="7"/>
  <c r="H55" i="7"/>
  <c r="L55" i="7"/>
  <c r="N61" i="7"/>
  <c r="B50" i="4" s="1"/>
  <c r="G13" i="6"/>
  <c r="F15" i="4" s="1"/>
  <c r="F20" i="6"/>
  <c r="F21" i="6"/>
  <c r="A44" i="6"/>
  <c r="C48" i="6"/>
  <c r="C56" i="6"/>
  <c r="C10" i="6" s="1"/>
  <c r="G56" i="6"/>
  <c r="G10" i="6" s="1"/>
  <c r="C61" i="6"/>
  <c r="G61" i="6"/>
  <c r="G11" i="6" s="1"/>
  <c r="C71" i="6"/>
  <c r="C12" i="6" s="1"/>
  <c r="B14" i="4" s="1"/>
  <c r="G71" i="6"/>
  <c r="G12" i="6" s="1"/>
  <c r="F14" i="4" s="1"/>
  <c r="C14" i="6"/>
  <c r="G86" i="6"/>
  <c r="G14" i="6" s="1"/>
  <c r="H17" i="4" s="1"/>
  <c r="A92" i="6"/>
  <c r="C95" i="6"/>
  <c r="G117" i="6"/>
  <c r="G18" i="6" s="1"/>
  <c r="H21" i="4" s="1"/>
  <c r="A150" i="6"/>
  <c r="C153" i="6"/>
  <c r="C21" i="6"/>
  <c r="G21" i="6"/>
  <c r="F195" i="6"/>
  <c r="F23" i="6" s="1"/>
  <c r="C200" i="6"/>
  <c r="C22" i="6" s="1"/>
  <c r="D200" i="6"/>
  <c r="F200" i="6"/>
  <c r="F22" i="6" s="1"/>
  <c r="A4" i="31717"/>
  <c r="G32" i="31717"/>
  <c r="L12" i="4"/>
  <c r="N14" i="4"/>
  <c r="N18" i="4" s="1"/>
  <c r="L17" i="4"/>
  <c r="N28" i="4"/>
  <c r="B33" i="4"/>
  <c r="D33" i="4"/>
  <c r="F33" i="4"/>
  <c r="P33" i="4"/>
  <c r="H36" i="4"/>
  <c r="J36" i="4"/>
  <c r="L36" i="4"/>
  <c r="N36" i="4"/>
  <c r="L44" i="4"/>
  <c r="N44" i="4"/>
  <c r="AA181" i="31714"/>
  <c r="AB181" i="31714"/>
  <c r="AE181" i="31714"/>
  <c r="AF181" i="31714"/>
  <c r="AI181" i="31714"/>
  <c r="AJ181" i="31714"/>
  <c r="AO181" i="31714"/>
  <c r="AV181" i="31714"/>
  <c r="AA183" i="31714"/>
  <c r="AA186" i="31714" s="1"/>
  <c r="AA193" i="31714" s="1"/>
  <c r="AB183" i="31714"/>
  <c r="AE183" i="31714"/>
  <c r="AE186" i="31714" s="1"/>
  <c r="AF183" i="31714"/>
  <c r="AI183" i="31714"/>
  <c r="AJ183" i="31714"/>
  <c r="AJ186" i="31714" s="1"/>
  <c r="AJ193" i="31714" s="1"/>
  <c r="AO183" i="31714"/>
  <c r="AV183" i="31714"/>
  <c r="AC186" i="31714"/>
  <c r="AC193" i="31714" s="1"/>
  <c r="AG186" i="31714"/>
  <c r="AK186" i="31714"/>
  <c r="AK193" i="31714" s="1"/>
  <c r="AT186" i="31714"/>
  <c r="AT193" i="31714" s="1"/>
  <c r="AA189" i="31714"/>
  <c r="AB189" i="31714"/>
  <c r="AE189" i="31714"/>
  <c r="AF189" i="31714"/>
  <c r="AI189" i="31714"/>
  <c r="AJ189" i="31714"/>
  <c r="AO189" i="31714"/>
  <c r="AV189" i="31714"/>
  <c r="AG193" i="31714"/>
  <c r="H17" i="31725"/>
  <c r="E17" i="1488" s="1"/>
  <c r="F19" i="31725"/>
  <c r="E43" i="1488"/>
  <c r="D44" i="31725"/>
  <c r="J44" i="31725"/>
  <c r="T43" i="31725"/>
  <c r="Q43" i="1488" s="1"/>
  <c r="S24" i="31722"/>
  <c r="I189" i="31720"/>
  <c r="E198" i="6" s="1"/>
  <c r="S47" i="31721"/>
  <c r="S48" i="31721"/>
  <c r="J51" i="7"/>
  <c r="K51" i="31721"/>
  <c r="AE17" i="31725"/>
  <c r="Z17" i="31725"/>
  <c r="W17" i="1488" s="1"/>
  <c r="AE18" i="31725"/>
  <c r="Z18" i="31725"/>
  <c r="W18" i="1488" s="1"/>
  <c r="X19" i="31725"/>
  <c r="X46" i="31725" s="1"/>
  <c r="Z15" i="31725"/>
  <c r="AE15" i="31725"/>
  <c r="K19" i="31722"/>
  <c r="S19" i="31722" s="1"/>
  <c r="G21" i="31722"/>
  <c r="G24" i="31722" s="1"/>
  <c r="G30" i="31722" s="1"/>
  <c r="V44" i="31725"/>
  <c r="I119" i="31720"/>
  <c r="E121" i="6" s="1"/>
  <c r="I121" i="6" s="1"/>
  <c r="E22" i="31720"/>
  <c r="I114" i="31720"/>
  <c r="E116" i="6" s="1"/>
  <c r="I116" i="6" s="1"/>
  <c r="E180" i="31720"/>
  <c r="E23" i="31720" s="1"/>
  <c r="E82" i="31720"/>
  <c r="E16" i="31720" s="1"/>
  <c r="C145" i="6"/>
  <c r="Q29" i="31721"/>
  <c r="M23" i="8"/>
  <c r="G23" i="6"/>
  <c r="H27" i="4" s="1"/>
  <c r="U11" i="31721" l="1"/>
  <c r="AC43" i="1488"/>
  <c r="F54" i="31712"/>
  <c r="E31" i="6"/>
  <c r="W44" i="1488"/>
  <c r="U13" i="31721"/>
  <c r="F24" i="31723"/>
  <c r="F30" i="31723" s="1"/>
  <c r="F34" i="31723" s="1"/>
  <c r="H32" i="31723" s="1"/>
  <c r="AV186" i="31714"/>
  <c r="AN181" i="31714"/>
  <c r="AF186" i="31714"/>
  <c r="H24" i="31723"/>
  <c r="H30" i="31723" s="1"/>
  <c r="AF193" i="31714"/>
  <c r="AI186" i="31714"/>
  <c r="AI193" i="31714" s="1"/>
  <c r="U29" i="31721"/>
  <c r="W29" i="31721" s="1"/>
  <c r="I24" i="9"/>
  <c r="I30" i="9" s="1"/>
  <c r="AM189" i="31714"/>
  <c r="F39" i="31712"/>
  <c r="AG43" i="31725"/>
  <c r="D40" i="31712"/>
  <c r="E24" i="9"/>
  <c r="E30" i="9" s="1"/>
  <c r="E34" i="9" s="1"/>
  <c r="G32" i="9" s="1"/>
  <c r="AN183" i="31714"/>
  <c r="AN186" i="31714" s="1"/>
  <c r="AO186" i="31714"/>
  <c r="AO193" i="31714" s="1"/>
  <c r="AN189" i="31714"/>
  <c r="B43" i="4"/>
  <c r="B44" i="4" s="1"/>
  <c r="O46" i="1488"/>
  <c r="AM181" i="31714"/>
  <c r="K32" i="31720"/>
  <c r="E77" i="6"/>
  <c r="I77" i="6" s="1"/>
  <c r="J17" i="4"/>
  <c r="J18" i="4" s="1"/>
  <c r="AG35" i="31725"/>
  <c r="AI35" i="31725" s="1"/>
  <c r="V46" i="31725"/>
  <c r="Z19" i="31725"/>
  <c r="C18" i="6"/>
  <c r="K117" i="6"/>
  <c r="I65" i="6"/>
  <c r="AM186" i="31714"/>
  <c r="AM193" i="31714" s="1"/>
  <c r="AV193" i="31714"/>
  <c r="H34" i="31723"/>
  <c r="J32" i="31723" s="1"/>
  <c r="J34" i="31723" s="1"/>
  <c r="AE193" i="31714"/>
  <c r="O29" i="8"/>
  <c r="C193" i="31720"/>
  <c r="I41" i="31721"/>
  <c r="AG26" i="31725"/>
  <c r="AI26" i="31725" s="1"/>
  <c r="H48" i="31725"/>
  <c r="AM183" i="31714"/>
  <c r="G15" i="9"/>
  <c r="W15" i="1488"/>
  <c r="W19" i="1488" s="1"/>
  <c r="J46" i="31725"/>
  <c r="AB186" i="31714"/>
  <c r="AB193" i="31714" s="1"/>
  <c r="J20" i="7"/>
  <c r="G19" i="8"/>
  <c r="M20" i="31722"/>
  <c r="AG38" i="31725"/>
  <c r="AI38" i="31725" s="1"/>
  <c r="C41" i="31721"/>
  <c r="G41" i="31721" s="1"/>
  <c r="G22" i="9"/>
  <c r="J23" i="31712"/>
  <c r="L18" i="4"/>
  <c r="L30" i="4" s="1"/>
  <c r="L38" i="4" s="1"/>
  <c r="L48" i="4" s="1"/>
  <c r="AG37" i="31725"/>
  <c r="AI37" i="31725" s="1"/>
  <c r="S14" i="31722"/>
  <c r="S14" i="31721"/>
  <c r="N30" i="4"/>
  <c r="N38" i="4" s="1"/>
  <c r="N48" i="4" s="1"/>
  <c r="N52" i="4" s="1"/>
  <c r="E70" i="6"/>
  <c r="I70" i="6" s="1"/>
  <c r="K75" i="31720"/>
  <c r="M178" i="31720"/>
  <c r="E181" i="6"/>
  <c r="I181" i="6" s="1"/>
  <c r="M179" i="31720"/>
  <c r="G193" i="31720"/>
  <c r="E20" i="31720"/>
  <c r="E26" i="31720" s="1"/>
  <c r="E193" i="31720"/>
  <c r="C201" i="6"/>
  <c r="K29" i="8"/>
  <c r="K33" i="8" s="1"/>
  <c r="M31" i="8" s="1"/>
  <c r="C46" i="1488"/>
  <c r="H44" i="7"/>
  <c r="H47" i="7" s="1"/>
  <c r="H59" i="7" s="1"/>
  <c r="H62" i="7" s="1"/>
  <c r="J61" i="7" s="1"/>
  <c r="C20" i="6"/>
  <c r="B22" i="4" s="1"/>
  <c r="C11" i="6"/>
  <c r="B13" i="4" s="1"/>
  <c r="AE44" i="1488"/>
  <c r="W27" i="1488"/>
  <c r="AG41" i="31725"/>
  <c r="AI41" i="31725" s="1"/>
  <c r="E26" i="1488"/>
  <c r="D46" i="31725"/>
  <c r="I193" i="6"/>
  <c r="K179" i="31720"/>
  <c r="E142" i="6"/>
  <c r="I142" i="6" s="1"/>
  <c r="K140" i="31720"/>
  <c r="U47" i="31721"/>
  <c r="J50" i="7"/>
  <c r="T28" i="7"/>
  <c r="AA19" i="1488"/>
  <c r="M46" i="1488"/>
  <c r="B24" i="4"/>
  <c r="E163" i="6"/>
  <c r="I163" i="6" s="1"/>
  <c r="K162" i="31720"/>
  <c r="E82" i="6"/>
  <c r="I82" i="6" s="1"/>
  <c r="K78" i="31720"/>
  <c r="K62" i="31720"/>
  <c r="E80" i="6"/>
  <c r="I80" i="6" s="1"/>
  <c r="E161" i="6"/>
  <c r="I161" i="6" s="1"/>
  <c r="K160" i="31720"/>
  <c r="E66" i="6"/>
  <c r="I66" i="6" s="1"/>
  <c r="K61" i="31720"/>
  <c r="E170" i="6"/>
  <c r="I170" i="6" s="1"/>
  <c r="K168" i="31720"/>
  <c r="E171" i="6"/>
  <c r="I171" i="6" s="1"/>
  <c r="K169" i="31720"/>
  <c r="E165" i="6"/>
  <c r="I165" i="6" s="1"/>
  <c r="E180" i="6"/>
  <c r="I180" i="6" s="1"/>
  <c r="K107" i="31720"/>
  <c r="E68" i="6"/>
  <c r="I68" i="6" s="1"/>
  <c r="AG31" i="31725"/>
  <c r="AI31" i="31725" s="1"/>
  <c r="W31" i="1488"/>
  <c r="AC31" i="1488" s="1"/>
  <c r="AG31" i="1488" s="1"/>
  <c r="D15" i="31712"/>
  <c r="AI22" i="1488"/>
  <c r="G10" i="1488"/>
  <c r="M10" i="1488" s="1"/>
  <c r="S10" i="1488" s="1"/>
  <c r="Y10" i="1488" s="1"/>
  <c r="AE10" i="1488" s="1"/>
  <c r="N55" i="7"/>
  <c r="R55" i="7"/>
  <c r="R42" i="7"/>
  <c r="F27" i="4" s="1"/>
  <c r="I23" i="8"/>
  <c r="I29" i="8" s="1"/>
  <c r="E141" i="6"/>
  <c r="I141" i="6" s="1"/>
  <c r="C29" i="31720"/>
  <c r="C35" i="31720" s="1"/>
  <c r="K114" i="31720"/>
  <c r="E110" i="6"/>
  <c r="I110" i="6" s="1"/>
  <c r="C84" i="31720"/>
  <c r="K171" i="31720"/>
  <c r="E173" i="6"/>
  <c r="I173" i="6" s="1"/>
  <c r="K174" i="31720"/>
  <c r="E85" i="6"/>
  <c r="I85" i="6" s="1"/>
  <c r="E99" i="6"/>
  <c r="I99" i="6" s="1"/>
  <c r="K118" i="31720"/>
  <c r="E123" i="6"/>
  <c r="I123" i="6" s="1"/>
  <c r="K112" i="31720"/>
  <c r="K138" i="31720"/>
  <c r="K60" i="31720"/>
  <c r="K137" i="31720"/>
  <c r="E131" i="6"/>
  <c r="I131" i="6" s="1"/>
  <c r="I191" i="31720"/>
  <c r="F44" i="7"/>
  <c r="F47" i="7" s="1"/>
  <c r="F59" i="7" s="1"/>
  <c r="F9" i="7"/>
  <c r="L9" i="7" s="1"/>
  <c r="U49" i="31721"/>
  <c r="M20" i="31721"/>
  <c r="U48" i="31721"/>
  <c r="G51" i="31721"/>
  <c r="P30" i="7"/>
  <c r="T30" i="7" s="1"/>
  <c r="S51" i="31721"/>
  <c r="U23" i="31721"/>
  <c r="W23" i="31721" s="1"/>
  <c r="M51" i="31721"/>
  <c r="U31" i="31721"/>
  <c r="W31" i="31721" s="1"/>
  <c r="O44" i="31721"/>
  <c r="O55" i="31721" s="1"/>
  <c r="Q51" i="31721"/>
  <c r="P27" i="7"/>
  <c r="T27" i="7" s="1"/>
  <c r="G14" i="31721"/>
  <c r="P26" i="7"/>
  <c r="T26" i="7" s="1"/>
  <c r="P39" i="7"/>
  <c r="P42" i="7" s="1"/>
  <c r="W38" i="1488"/>
  <c r="AC38" i="1488" s="1"/>
  <c r="AG32" i="31725"/>
  <c r="AI32" i="31725" s="1"/>
  <c r="R46" i="31725"/>
  <c r="AG24" i="31725"/>
  <c r="AI24" i="31725" s="1"/>
  <c r="K44" i="31721"/>
  <c r="K55" i="31721" s="1"/>
  <c r="Q14" i="31721"/>
  <c r="U35" i="31721"/>
  <c r="W35" i="31721" s="1"/>
  <c r="U30" i="31721"/>
  <c r="W30" i="31721" s="1"/>
  <c r="U28" i="31721"/>
  <c r="W28" i="31721" s="1"/>
  <c r="U26" i="31721"/>
  <c r="W26" i="31721" s="1"/>
  <c r="U27" i="31721"/>
  <c r="W27" i="31721" s="1"/>
  <c r="U25" i="31721"/>
  <c r="W25" i="31721" s="1"/>
  <c r="E179" i="6"/>
  <c r="I179" i="6" s="1"/>
  <c r="E175" i="6"/>
  <c r="I175" i="6" s="1"/>
  <c r="E158" i="6"/>
  <c r="I158" i="6" s="1"/>
  <c r="G7" i="6"/>
  <c r="G95" i="6" s="1"/>
  <c r="E144" i="6"/>
  <c r="I144" i="6" s="1"/>
  <c r="E138" i="6"/>
  <c r="I138" i="6" s="1"/>
  <c r="K133" i="31720"/>
  <c r="E129" i="6"/>
  <c r="I129" i="6" s="1"/>
  <c r="K126" i="31720"/>
  <c r="K124" i="31720"/>
  <c r="E125" i="6"/>
  <c r="I125" i="6" s="1"/>
  <c r="E108" i="6"/>
  <c r="I108" i="6" s="1"/>
  <c r="E107" i="6"/>
  <c r="I107" i="6" s="1"/>
  <c r="K104" i="31720"/>
  <c r="E111" i="6"/>
  <c r="I111" i="6" s="1"/>
  <c r="E105" i="6"/>
  <c r="I105" i="6" s="1"/>
  <c r="E103" i="6"/>
  <c r="I103" i="6" s="1"/>
  <c r="E79" i="6"/>
  <c r="I79" i="6" s="1"/>
  <c r="K64" i="31720"/>
  <c r="K48" i="31720"/>
  <c r="P36" i="4"/>
  <c r="B36" i="4"/>
  <c r="Y44" i="1488"/>
  <c r="Y46" i="1488" s="1"/>
  <c r="P31" i="7"/>
  <c r="T31" i="7" s="1"/>
  <c r="P14" i="7"/>
  <c r="T14" i="7" s="1"/>
  <c r="AC37" i="1488"/>
  <c r="F33" i="31712" s="1"/>
  <c r="AC32" i="1488"/>
  <c r="F28" i="31712" s="1"/>
  <c r="F36" i="4"/>
  <c r="D36" i="4"/>
  <c r="AK22" i="1488"/>
  <c r="I46" i="1488"/>
  <c r="AA44" i="1488"/>
  <c r="E33" i="8"/>
  <c r="G31" i="8" s="1"/>
  <c r="B26" i="4"/>
  <c r="B27" i="4"/>
  <c r="N15" i="7"/>
  <c r="B44" i="7"/>
  <c r="B47" i="7" s="1"/>
  <c r="B59" i="7" s="1"/>
  <c r="B62" i="7" s="1"/>
  <c r="D61" i="7" s="1"/>
  <c r="N33" i="7"/>
  <c r="B23" i="4" s="1"/>
  <c r="N21" i="7"/>
  <c r="H15" i="4"/>
  <c r="C87" i="6"/>
  <c r="I56" i="1488"/>
  <c r="O56" i="1488" s="1"/>
  <c r="W35" i="1488"/>
  <c r="AC35" i="1488" s="1"/>
  <c r="F31" i="31712" s="1"/>
  <c r="AG33" i="31725"/>
  <c r="AI33" i="31725" s="1"/>
  <c r="Z44" i="31725"/>
  <c r="W30" i="1488"/>
  <c r="AC30" i="1488" s="1"/>
  <c r="AG30" i="1488" s="1"/>
  <c r="AG30" i="31725"/>
  <c r="AI30" i="31725" s="1"/>
  <c r="AE19" i="31725"/>
  <c r="AC34" i="1488"/>
  <c r="AG34" i="1488" s="1"/>
  <c r="AC28" i="1488"/>
  <c r="F25" i="31712" s="1"/>
  <c r="AG27" i="31725"/>
  <c r="AI27" i="31725" s="1"/>
  <c r="Q24" i="1488"/>
  <c r="AC24" i="1488" s="1"/>
  <c r="F21" i="31712" s="1"/>
  <c r="T44" i="31725"/>
  <c r="T19" i="31725"/>
  <c r="AG17" i="31725"/>
  <c r="AI17" i="31725" s="1"/>
  <c r="Q19" i="1488"/>
  <c r="AG40" i="31725"/>
  <c r="AI40" i="31725" s="1"/>
  <c r="AG39" i="31725"/>
  <c r="AI39" i="31725" s="1"/>
  <c r="AG34" i="31725"/>
  <c r="AI34" i="31725" s="1"/>
  <c r="AC44" i="31725"/>
  <c r="AG29" i="31725"/>
  <c r="AI29" i="31725" s="1"/>
  <c r="AC18" i="1488"/>
  <c r="AC19" i="31725"/>
  <c r="E41" i="1488"/>
  <c r="AC41" i="1488" s="1"/>
  <c r="F37" i="31712" s="1"/>
  <c r="AG25" i="31725"/>
  <c r="AI25" i="31725" s="1"/>
  <c r="F46" i="31725"/>
  <c r="AC40" i="1488"/>
  <c r="AG40" i="1488" s="1"/>
  <c r="AG36" i="31725"/>
  <c r="AI36" i="31725" s="1"/>
  <c r="AC36" i="1488"/>
  <c r="F32" i="31712" s="1"/>
  <c r="H44" i="31725"/>
  <c r="AC22" i="1488"/>
  <c r="F18" i="31712" s="1"/>
  <c r="AG18" i="31725"/>
  <c r="AI18" i="31725" s="1"/>
  <c r="H19" i="31725"/>
  <c r="AC17" i="1488"/>
  <c r="F13" i="31712" s="1"/>
  <c r="E15" i="1488"/>
  <c r="AG15" i="31725"/>
  <c r="AI15" i="31725" s="1"/>
  <c r="N19" i="31725"/>
  <c r="AG42" i="31725"/>
  <c r="AI42" i="31725" s="1"/>
  <c r="AC42" i="1488"/>
  <c r="F38" i="31712" s="1"/>
  <c r="AC39" i="1488"/>
  <c r="AG39" i="1488" s="1"/>
  <c r="AC33" i="1488"/>
  <c r="AG33" i="1488" s="1"/>
  <c r="AC29" i="1488"/>
  <c r="F20" i="31712" s="1"/>
  <c r="AE44" i="31725"/>
  <c r="AG28" i="31725"/>
  <c r="AI28" i="31725" s="1"/>
  <c r="AC25" i="1488"/>
  <c r="F22" i="31712" s="1"/>
  <c r="N44" i="31725"/>
  <c r="L46" i="31725"/>
  <c r="AG22" i="31725"/>
  <c r="K44" i="1488"/>
  <c r="K15" i="1488"/>
  <c r="S20" i="31722"/>
  <c r="G18" i="8"/>
  <c r="K21" i="31722"/>
  <c r="M21" i="31722" s="1"/>
  <c r="M19" i="31722"/>
  <c r="S18" i="31722"/>
  <c r="S21" i="31722" s="1"/>
  <c r="M18" i="31722"/>
  <c r="M32" i="31721"/>
  <c r="P32" i="7"/>
  <c r="T32" i="7" s="1"/>
  <c r="J33" i="7"/>
  <c r="Q20" i="31721"/>
  <c r="U18" i="31721"/>
  <c r="W18" i="31721" s="1"/>
  <c r="M14" i="31721"/>
  <c r="S32" i="31721"/>
  <c r="S20" i="31721"/>
  <c r="P19" i="7"/>
  <c r="T19" i="7" s="1"/>
  <c r="D12" i="7"/>
  <c r="P36" i="7"/>
  <c r="T36" i="7" s="1"/>
  <c r="Q32" i="31721"/>
  <c r="G32" i="31721"/>
  <c r="D24" i="7"/>
  <c r="U19" i="31721"/>
  <c r="X26" i="31721" s="1"/>
  <c r="G20" i="31721"/>
  <c r="K159" i="31720"/>
  <c r="K155" i="31720"/>
  <c r="K132" i="31720"/>
  <c r="K131" i="31720"/>
  <c r="K125" i="31720"/>
  <c r="K111" i="31720"/>
  <c r="K110" i="31720"/>
  <c r="E102" i="6"/>
  <c r="I102" i="6" s="1"/>
  <c r="K98" i="31720"/>
  <c r="E81" i="6"/>
  <c r="I81" i="6" s="1"/>
  <c r="K74" i="31720"/>
  <c r="K72" i="31720"/>
  <c r="I15" i="31720"/>
  <c r="K15" i="31720" s="1"/>
  <c r="K55" i="31720"/>
  <c r="E59" i="6"/>
  <c r="I59" i="6" s="1"/>
  <c r="K50" i="31720"/>
  <c r="I51" i="31720"/>
  <c r="K51" i="31720" s="1"/>
  <c r="E199" i="6"/>
  <c r="K176" i="31720"/>
  <c r="K170" i="31720"/>
  <c r="K166" i="31720"/>
  <c r="E164" i="6"/>
  <c r="I164" i="6" s="1"/>
  <c r="I180" i="31720"/>
  <c r="K156" i="31720"/>
  <c r="K134" i="31720"/>
  <c r="K130" i="31720"/>
  <c r="E130" i="6"/>
  <c r="I130" i="6" s="1"/>
  <c r="K122" i="31720"/>
  <c r="I143" i="31720"/>
  <c r="L143" i="31720" s="1"/>
  <c r="K119" i="31720"/>
  <c r="I115" i="31720"/>
  <c r="L115" i="31720" s="1"/>
  <c r="I82" i="31720"/>
  <c r="E13" i="6"/>
  <c r="D15" i="4" s="1"/>
  <c r="I73" i="6"/>
  <c r="K69" i="31720"/>
  <c r="I66" i="31720"/>
  <c r="G66" i="31720" s="1"/>
  <c r="E84" i="31720"/>
  <c r="I56" i="31720"/>
  <c r="E17" i="31720"/>
  <c r="K47" i="31720"/>
  <c r="E52" i="6"/>
  <c r="I52" i="6" s="1"/>
  <c r="S46" i="1488"/>
  <c r="AI24" i="1488"/>
  <c r="G46" i="1488"/>
  <c r="AE19" i="1488"/>
  <c r="H15" i="31712"/>
  <c r="P16" i="4" s="1"/>
  <c r="P18" i="4" s="1"/>
  <c r="L44" i="7"/>
  <c r="L47" i="7" s="1"/>
  <c r="L59" i="7" s="1"/>
  <c r="J43" i="4"/>
  <c r="J44" i="4" s="1"/>
  <c r="T29" i="7"/>
  <c r="R33" i="7"/>
  <c r="J23" i="4" s="1"/>
  <c r="R21" i="7"/>
  <c r="J21" i="4" s="1"/>
  <c r="R15" i="7"/>
  <c r="P9" i="7"/>
  <c r="F26" i="4"/>
  <c r="H26" i="4"/>
  <c r="F24" i="4"/>
  <c r="H24" i="4"/>
  <c r="H22" i="4"/>
  <c r="F22" i="4"/>
  <c r="G201" i="6"/>
  <c r="G24" i="6"/>
  <c r="F17" i="4"/>
  <c r="H14" i="4"/>
  <c r="H13" i="4"/>
  <c r="F13" i="4"/>
  <c r="H12" i="4"/>
  <c r="F12" i="4"/>
  <c r="G15" i="6"/>
  <c r="G87" i="6"/>
  <c r="E153" i="6"/>
  <c r="E48" i="6"/>
  <c r="H22" i="31712"/>
  <c r="H38" i="31712"/>
  <c r="H37" i="31712"/>
  <c r="H25" i="31712"/>
  <c r="H20" i="31712"/>
  <c r="H21" i="31712"/>
  <c r="J53" i="7"/>
  <c r="S30" i="31722"/>
  <c r="M27" i="31722"/>
  <c r="J15" i="7"/>
  <c r="Q30" i="31722"/>
  <c r="M13" i="8"/>
  <c r="AK24" i="1488"/>
  <c r="B16" i="4"/>
  <c r="I76" i="6"/>
  <c r="F16" i="4"/>
  <c r="H18" i="31712"/>
  <c r="AJ24" i="1488"/>
  <c r="H40" i="31712" l="1"/>
  <c r="X41" i="31721"/>
  <c r="I44" i="31721"/>
  <c r="I55" i="31721" s="1"/>
  <c r="AN193" i="31714"/>
  <c r="P50" i="7"/>
  <c r="J55" i="7"/>
  <c r="G24" i="9"/>
  <c r="G30" i="9" s="1"/>
  <c r="G34" i="9" s="1"/>
  <c r="I32" i="9" s="1"/>
  <c r="I34" i="9" s="1"/>
  <c r="M41" i="31721"/>
  <c r="M44" i="31721" s="1"/>
  <c r="M55" i="31721" s="1"/>
  <c r="S41" i="31721"/>
  <c r="S44" i="31721" s="1"/>
  <c r="S55" i="31721" s="1"/>
  <c r="Q41" i="31721"/>
  <c r="P20" i="7"/>
  <c r="T20" i="7" s="1"/>
  <c r="G44" i="31721"/>
  <c r="G55" i="31721" s="1"/>
  <c r="C44" i="31721"/>
  <c r="C55" i="31721" s="1"/>
  <c r="M19" i="8"/>
  <c r="J21" i="7"/>
  <c r="J44" i="7" s="1"/>
  <c r="J47" i="7" s="1"/>
  <c r="Z46" i="31725"/>
  <c r="Y26" i="31721"/>
  <c r="AG37" i="1488"/>
  <c r="P12" i="7"/>
  <c r="T12" i="7" s="1"/>
  <c r="P51" i="7"/>
  <c r="F53" i="31712" s="1"/>
  <c r="D42" i="4" s="1"/>
  <c r="W48" i="31721"/>
  <c r="M193" i="31720"/>
  <c r="M180" i="31720"/>
  <c r="K180" i="31720"/>
  <c r="I193" i="31720"/>
  <c r="W46" i="1488"/>
  <c r="AC27" i="1488"/>
  <c r="F24" i="31712" s="1"/>
  <c r="J24" i="31712" s="1"/>
  <c r="E44" i="1488"/>
  <c r="AC26" i="1488"/>
  <c r="F23" i="31712" s="1"/>
  <c r="J27" i="4"/>
  <c r="J28" i="4" s="1"/>
  <c r="J30" i="4" s="1"/>
  <c r="J38" i="4" s="1"/>
  <c r="J48" i="4" s="1"/>
  <c r="P61" i="7"/>
  <c r="AA46" i="1488"/>
  <c r="E71" i="6"/>
  <c r="E12" i="6" s="1"/>
  <c r="D14" i="4" s="1"/>
  <c r="I55" i="1488"/>
  <c r="O55" i="1488" s="1"/>
  <c r="I54" i="1488"/>
  <c r="O54" i="1488" s="1"/>
  <c r="AG32" i="1488"/>
  <c r="B17" i="4"/>
  <c r="E23" i="6"/>
  <c r="I23" i="6" s="1"/>
  <c r="R9" i="7"/>
  <c r="K24" i="31722"/>
  <c r="I21" i="31722"/>
  <c r="I24" i="31722" s="1"/>
  <c r="I30" i="31722" s="1"/>
  <c r="G51" i="31720"/>
  <c r="I24" i="31720"/>
  <c r="G24" i="31720" s="1"/>
  <c r="F21" i="4"/>
  <c r="B21" i="4"/>
  <c r="D55" i="7"/>
  <c r="U14" i="31721"/>
  <c r="W14" i="31721" s="1"/>
  <c r="F34" i="31712"/>
  <c r="AG38" i="1488"/>
  <c r="F27" i="31712"/>
  <c r="F29" i="31712"/>
  <c r="AE46" i="31725"/>
  <c r="U32" i="31721"/>
  <c r="W32" i="31721" s="1"/>
  <c r="D15" i="7"/>
  <c r="G153" i="6"/>
  <c r="G48" i="6"/>
  <c r="I12" i="31720"/>
  <c r="K12" i="31720" s="1"/>
  <c r="F14" i="31712"/>
  <c r="D21" i="7"/>
  <c r="AG29" i="1488"/>
  <c r="N44" i="7"/>
  <c r="N47" i="7" s="1"/>
  <c r="N59" i="7" s="1"/>
  <c r="N62" i="7" s="1"/>
  <c r="E117" i="6"/>
  <c r="I117" i="6" s="1"/>
  <c r="E86" i="6"/>
  <c r="E14" i="6" s="1"/>
  <c r="H18" i="4"/>
  <c r="R18" i="4" s="1"/>
  <c r="C24" i="6"/>
  <c r="AG35" i="1488"/>
  <c r="F26" i="31712"/>
  <c r="F30" i="31712"/>
  <c r="AG28" i="1488"/>
  <c r="Q44" i="1488"/>
  <c r="Q46" i="1488" s="1"/>
  <c r="T46" i="31725"/>
  <c r="AC46" i="31725"/>
  <c r="AG25" i="1488"/>
  <c r="AG18" i="1488"/>
  <c r="AG17" i="1488"/>
  <c r="AG41" i="1488"/>
  <c r="AG36" i="1488"/>
  <c r="AG24" i="1488"/>
  <c r="AG22" i="1488"/>
  <c r="AG42" i="1488"/>
  <c r="F36" i="31712"/>
  <c r="H46" i="31725"/>
  <c r="F10" i="31712"/>
  <c r="E19" i="1488"/>
  <c r="AG19" i="31725"/>
  <c r="D56" i="31725" s="1"/>
  <c r="N46" i="31725"/>
  <c r="F35" i="31712"/>
  <c r="AI22" i="31725"/>
  <c r="AG44" i="31725"/>
  <c r="AI44" i="31725" s="1"/>
  <c r="F11" i="31712"/>
  <c r="AC15" i="1488"/>
  <c r="K19" i="1488"/>
  <c r="K46" i="1488" s="1"/>
  <c r="M18" i="8"/>
  <c r="G20" i="8"/>
  <c r="P53" i="7"/>
  <c r="U51" i="31721"/>
  <c r="W51" i="31721" s="1"/>
  <c r="W11" i="31721"/>
  <c r="P24" i="7"/>
  <c r="D33" i="7"/>
  <c r="U20" i="31721"/>
  <c r="W19" i="31721"/>
  <c r="E200" i="6"/>
  <c r="I13" i="6"/>
  <c r="G15" i="31720"/>
  <c r="E61" i="6"/>
  <c r="E56" i="6"/>
  <c r="I56" i="6" s="1"/>
  <c r="E182" i="6"/>
  <c r="I182" i="6" s="1"/>
  <c r="I23" i="31720"/>
  <c r="G23" i="31720" s="1"/>
  <c r="E145" i="6"/>
  <c r="I145" i="6" s="1"/>
  <c r="I22" i="31720"/>
  <c r="K143" i="31720"/>
  <c r="K115" i="31720"/>
  <c r="I20" i="31720"/>
  <c r="G20" i="31720" s="1"/>
  <c r="E29" i="31720"/>
  <c r="E35" i="31720" s="1"/>
  <c r="I16" i="31720"/>
  <c r="K82" i="31720"/>
  <c r="G82" i="31720"/>
  <c r="I14" i="31720"/>
  <c r="K66" i="31720"/>
  <c r="I84" i="31720"/>
  <c r="K84" i="31720" s="1"/>
  <c r="I13" i="31720"/>
  <c r="K13" i="31720" s="1"/>
  <c r="K56" i="31720"/>
  <c r="C54" i="1488"/>
  <c r="C55" i="1488"/>
  <c r="C56" i="1488"/>
  <c r="R44" i="7"/>
  <c r="R47" i="7" s="1"/>
  <c r="R59" i="7" s="1"/>
  <c r="F23" i="4"/>
  <c r="H28" i="4"/>
  <c r="G26" i="6"/>
  <c r="G34" i="6" s="1"/>
  <c r="F18" i="4"/>
  <c r="C15" i="6"/>
  <c r="B12" i="4"/>
  <c r="AE46" i="1488"/>
  <c r="Q26" i="8"/>
  <c r="M26" i="8"/>
  <c r="M29" i="8" s="1"/>
  <c r="M33" i="8" s="1"/>
  <c r="O31" i="8" s="1"/>
  <c r="O33" i="8" s="1"/>
  <c r="E11" i="6" l="1"/>
  <c r="D13" i="4" s="1"/>
  <c r="F40" i="31712"/>
  <c r="D25" i="4" s="1"/>
  <c r="U41" i="31721"/>
  <c r="P21" i="7"/>
  <c r="T21" i="7" s="1"/>
  <c r="Q44" i="31721"/>
  <c r="Q55" i="31721" s="1"/>
  <c r="M24" i="31722"/>
  <c r="K30" i="31722"/>
  <c r="M30" i="31722" s="1"/>
  <c r="L23" i="31712"/>
  <c r="P15" i="7"/>
  <c r="T15" i="7" s="1"/>
  <c r="B25" i="4"/>
  <c r="B28" i="4" s="1"/>
  <c r="F55" i="31712"/>
  <c r="D43" i="4"/>
  <c r="D44" i="4" s="1"/>
  <c r="T51" i="7"/>
  <c r="K193" i="31720"/>
  <c r="L193" i="31720"/>
  <c r="AC44" i="1488"/>
  <c r="AG44" i="1488" s="1"/>
  <c r="AG27" i="1488"/>
  <c r="E46" i="1488"/>
  <c r="AG26" i="1488"/>
  <c r="B18" i="4"/>
  <c r="G12" i="31720"/>
  <c r="C57" i="1488"/>
  <c r="I71" i="6"/>
  <c r="G13" i="31720"/>
  <c r="D17" i="4"/>
  <c r="D44" i="7"/>
  <c r="D47" i="7" s="1"/>
  <c r="D59" i="7" s="1"/>
  <c r="D62" i="7" s="1"/>
  <c r="I14" i="6"/>
  <c r="I86" i="6"/>
  <c r="D42" i="31712"/>
  <c r="D50" i="31712" s="1"/>
  <c r="H30" i="4"/>
  <c r="H38" i="4" s="1"/>
  <c r="E18" i="6"/>
  <c r="I18" i="6" s="1"/>
  <c r="E10" i="6"/>
  <c r="D12" i="4" s="1"/>
  <c r="E87" i="6"/>
  <c r="I87" i="6" s="1"/>
  <c r="C26" i="6"/>
  <c r="C34" i="6" s="1"/>
  <c r="D55" i="31725"/>
  <c r="F15" i="31712"/>
  <c r="D54" i="31725"/>
  <c r="D16" i="4"/>
  <c r="AI19" i="31725"/>
  <c r="AG46" i="31725"/>
  <c r="AI46" i="31725" s="1"/>
  <c r="AG15" i="1488"/>
  <c r="AC19" i="1488"/>
  <c r="G23" i="8"/>
  <c r="J59" i="7"/>
  <c r="J62" i="7" s="1"/>
  <c r="L61" i="7" s="1"/>
  <c r="L62" i="7" s="1"/>
  <c r="T53" i="7"/>
  <c r="P55" i="7"/>
  <c r="T55" i="7" s="1"/>
  <c r="T24" i="7"/>
  <c r="P33" i="7"/>
  <c r="W20" i="31721"/>
  <c r="E22" i="6"/>
  <c r="I61" i="6"/>
  <c r="I195" i="6"/>
  <c r="D27" i="4"/>
  <c r="E21" i="6"/>
  <c r="I21" i="6" s="1"/>
  <c r="K23" i="31720"/>
  <c r="E201" i="6"/>
  <c r="I201" i="6" s="1"/>
  <c r="E20" i="6"/>
  <c r="I20" i="6" s="1"/>
  <c r="G22" i="31720"/>
  <c r="K22" i="31720"/>
  <c r="K20" i="31720"/>
  <c r="I26" i="31720"/>
  <c r="K26" i="31720" s="1"/>
  <c r="I17" i="31720"/>
  <c r="K16" i="31720"/>
  <c r="G16" i="31720"/>
  <c r="G84" i="31720"/>
  <c r="G14" i="31720"/>
  <c r="K14" i="31720"/>
  <c r="P25" i="4"/>
  <c r="P28" i="4" s="1"/>
  <c r="F25" i="4"/>
  <c r="F28" i="4" s="1"/>
  <c r="F30" i="4" s="1"/>
  <c r="F38" i="4" s="1"/>
  <c r="H42" i="31712"/>
  <c r="H50" i="31712" s="1"/>
  <c r="I12" i="6"/>
  <c r="I11" i="6" l="1"/>
  <c r="D57" i="31712"/>
  <c r="D61" i="31712" s="1"/>
  <c r="F59" i="31712" s="1"/>
  <c r="C38" i="6"/>
  <c r="G29" i="8"/>
  <c r="Q29" i="8" s="1"/>
  <c r="B30" i="4"/>
  <c r="B38" i="4" s="1"/>
  <c r="B48" i="4" s="1"/>
  <c r="F61" i="7"/>
  <c r="R61" i="7" s="1"/>
  <c r="J50" i="4" s="1"/>
  <c r="J52" i="4" s="1"/>
  <c r="D24" i="4"/>
  <c r="D21" i="4"/>
  <c r="I10" i="6"/>
  <c r="E15" i="6"/>
  <c r="F42" i="31712"/>
  <c r="F50" i="31712" s="1"/>
  <c r="D57" i="31725"/>
  <c r="D18" i="4"/>
  <c r="AC46" i="1488"/>
  <c r="AG46" i="1488" s="1"/>
  <c r="AG19" i="1488"/>
  <c r="D23" i="4"/>
  <c r="T33" i="7"/>
  <c r="P44" i="7"/>
  <c r="W41" i="31721"/>
  <c r="U44" i="31721"/>
  <c r="X44" i="31721" s="1"/>
  <c r="D26" i="4"/>
  <c r="G26" i="31720"/>
  <c r="E24" i="6"/>
  <c r="I24" i="6" s="1"/>
  <c r="D22" i="4"/>
  <c r="I29" i="31720"/>
  <c r="K17" i="31720"/>
  <c r="G17" i="31720"/>
  <c r="R28" i="4"/>
  <c r="P30" i="4"/>
  <c r="P38" i="4" s="1"/>
  <c r="B52" i="4" l="1"/>
  <c r="B54" i="4"/>
  <c r="B56" i="4" s="1"/>
  <c r="F57" i="31712"/>
  <c r="F61" i="31712" s="1"/>
  <c r="H59" i="31712" s="1"/>
  <c r="P50" i="4" s="1"/>
  <c r="E36" i="6"/>
  <c r="D50" i="4" s="1"/>
  <c r="I35" i="31720"/>
  <c r="K35" i="31720" s="1"/>
  <c r="F62" i="7"/>
  <c r="I15" i="6"/>
  <c r="G33" i="8"/>
  <c r="R62" i="7"/>
  <c r="T61" i="7"/>
  <c r="T44" i="7"/>
  <c r="P47" i="7"/>
  <c r="D28" i="4"/>
  <c r="D30" i="4" s="1"/>
  <c r="D38" i="4" s="1"/>
  <c r="D48" i="4" s="1"/>
  <c r="U55" i="31721"/>
  <c r="W55" i="31721" s="1"/>
  <c r="W44" i="31721"/>
  <c r="G29" i="31720"/>
  <c r="G35" i="31720" s="1"/>
  <c r="E26" i="6"/>
  <c r="E34" i="6" s="1"/>
  <c r="M27" i="31720"/>
  <c r="K29" i="31720"/>
  <c r="I31" i="8" l="1"/>
  <c r="Q31" i="8" s="1"/>
  <c r="D52" i="4"/>
  <c r="I26" i="6"/>
  <c r="L50" i="4"/>
  <c r="L52" i="4" s="1"/>
  <c r="P59" i="7"/>
  <c r="T47" i="7"/>
  <c r="I33" i="8" l="1"/>
  <c r="Q33" i="8" s="1"/>
  <c r="P62" i="7"/>
  <c r="T62" i="7" s="1"/>
  <c r="T59" i="7"/>
  <c r="E38" i="6"/>
  <c r="D54" i="4" l="1"/>
  <c r="D56" i="4" s="1"/>
  <c r="G36" i="6"/>
  <c r="I36" i="6" s="1"/>
  <c r="H50" i="4" l="1"/>
  <c r="F50" i="4"/>
  <c r="F43" i="4" l="1"/>
  <c r="H55" i="31712"/>
  <c r="H57" i="31712" s="1"/>
  <c r="H61" i="31712" s="1"/>
  <c r="P43" i="4"/>
  <c r="P44" i="4" s="1"/>
  <c r="P48" i="4" s="1"/>
  <c r="P52" i="4" s="1"/>
  <c r="I30" i="6"/>
  <c r="I34" i="6" l="1"/>
  <c r="H42" i="4"/>
  <c r="H44" i="4" s="1"/>
  <c r="H48" i="4" s="1"/>
  <c r="H52" i="4" s="1"/>
  <c r="R52" i="4" s="1"/>
  <c r="F42" i="4"/>
  <c r="F44" i="4" l="1"/>
  <c r="F48" i="4" s="1"/>
  <c r="F52" i="4" s="1"/>
  <c r="G38" i="6"/>
  <c r="F54" i="4" l="1"/>
  <c r="F56" i="4" s="1"/>
  <c r="I38" i="6"/>
</calcChain>
</file>

<file path=xl/comments1.xml><?xml version="1.0" encoding="utf-8"?>
<comments xmlns="http://schemas.openxmlformats.org/spreadsheetml/2006/main">
  <authors>
    <author>A satisfied Microsoft Office User</author>
  </authors>
  <commentList>
    <comment ref="AT181" authorId="0" shapeId="0">
      <text>
        <r>
          <rPr>
            <sz val="8"/>
            <color indexed="81"/>
            <rFont val="Tahoma"/>
            <family val="2"/>
          </rPr>
          <t>Formula failed to convert</t>
        </r>
      </text>
    </comment>
    <comment ref="AT183" authorId="0" shapeId="0">
      <text>
        <r>
          <rPr>
            <sz val="8"/>
            <color indexed="81"/>
            <rFont val="Tahoma"/>
            <family val="2"/>
          </rPr>
          <t>Formula failed to convert</t>
        </r>
      </text>
    </comment>
    <comment ref="AT189" authorId="0" shapeId="0">
      <text>
        <r>
          <rPr>
            <sz val="8"/>
            <color indexed="81"/>
            <rFont val="Tahoma"/>
            <family val="2"/>
          </rPr>
          <t>Formula failed to convert</t>
        </r>
      </text>
    </comment>
  </commentList>
</comments>
</file>

<file path=xl/comments2.xml><?xml version="1.0" encoding="utf-8"?>
<comments xmlns="http://schemas.openxmlformats.org/spreadsheetml/2006/main">
  <authors>
    <author>A satisfied Microsoft Office User</author>
  </authors>
  <commentList>
    <comment ref="AI196" authorId="0" shapeId="0">
      <text>
        <r>
          <rPr>
            <sz val="8"/>
            <color indexed="81"/>
            <rFont val="Tahoma"/>
            <family val="2"/>
          </rPr>
          <t>Formula failed to convert</t>
        </r>
      </text>
    </comment>
    <comment ref="AI198" authorId="0" shapeId="0">
      <text>
        <r>
          <rPr>
            <sz val="8"/>
            <color indexed="81"/>
            <rFont val="Tahoma"/>
            <family val="2"/>
          </rPr>
          <t>Formula failed to convert</t>
        </r>
      </text>
    </comment>
    <comment ref="AI204" authorId="0" shapeId="0">
      <text>
        <r>
          <rPr>
            <sz val="8"/>
            <color indexed="81"/>
            <rFont val="Tahoma"/>
            <family val="2"/>
          </rPr>
          <t>Formula failed to convert</t>
        </r>
      </text>
    </comment>
  </commentList>
</comments>
</file>

<file path=xl/sharedStrings.xml><?xml version="1.0" encoding="utf-8"?>
<sst xmlns="http://schemas.openxmlformats.org/spreadsheetml/2006/main" count="1344" uniqueCount="599">
  <si>
    <t>Revenues:</t>
  </si>
  <si>
    <t xml:space="preserve">  Taxes</t>
  </si>
  <si>
    <t xml:space="preserve">  Licenses and permits</t>
  </si>
  <si>
    <t xml:space="preserve">  Intergovernmental</t>
  </si>
  <si>
    <t xml:space="preserve">  Fines and forfeits</t>
  </si>
  <si>
    <t xml:space="preserve">  Miscellaneous</t>
  </si>
  <si>
    <t xml:space="preserve">     Total revenues</t>
  </si>
  <si>
    <t>Expenditures:</t>
  </si>
  <si>
    <t xml:space="preserve">  General government</t>
  </si>
  <si>
    <t xml:space="preserve">  Public safety - police</t>
  </si>
  <si>
    <t xml:space="preserve">  Highways and streets</t>
  </si>
  <si>
    <t xml:space="preserve">  Culture and recreation</t>
  </si>
  <si>
    <t xml:space="preserve">  Utility Fund expenses</t>
  </si>
  <si>
    <t xml:space="preserve">  Debt service</t>
  </si>
  <si>
    <t xml:space="preserve">      Total expenditures</t>
  </si>
  <si>
    <t>Nonoperating revenues (expenses):</t>
  </si>
  <si>
    <t>Other financing sources (uses):</t>
  </si>
  <si>
    <t xml:space="preserve">      Total other financing sources (uses)</t>
  </si>
  <si>
    <t xml:space="preserve">        other sources over expenditures</t>
  </si>
  <si>
    <t xml:space="preserve"> </t>
  </si>
  <si>
    <t>BUDGET</t>
  </si>
  <si>
    <t>Page</t>
  </si>
  <si>
    <t>Budget message</t>
  </si>
  <si>
    <t>-</t>
  </si>
  <si>
    <t>Consolidated budget</t>
  </si>
  <si>
    <t>1</t>
  </si>
  <si>
    <t>Capital outlay budget request</t>
  </si>
  <si>
    <t>2</t>
  </si>
  <si>
    <t>General Fund -</t>
  </si>
  <si>
    <t xml:space="preserve">    Budget</t>
  </si>
  <si>
    <t>3</t>
  </si>
  <si>
    <t xml:space="preserve">    Revenue summary</t>
  </si>
  <si>
    <t>4</t>
  </si>
  <si>
    <t xml:space="preserve">    Summary of expenditures </t>
  </si>
  <si>
    <t>5 - 6</t>
  </si>
  <si>
    <t>Special revenue funds-</t>
  </si>
  <si>
    <t xml:space="preserve">  1966 and 1996 Sales Tax Funds -</t>
  </si>
  <si>
    <t xml:space="preserve">    Combining statement of revenues and expenditures</t>
  </si>
  <si>
    <t>7</t>
  </si>
  <si>
    <t>Debt service fund -</t>
  </si>
  <si>
    <t xml:space="preserve">  Combining statement of revenues and expenditures</t>
  </si>
  <si>
    <t>8</t>
  </si>
  <si>
    <t>Utility Fund (combined utility -</t>
  </si>
  <si>
    <t xml:space="preserve">  gas, water, and sewer) -</t>
  </si>
  <si>
    <t xml:space="preserve">    Departmental utility fund analysis</t>
  </si>
  <si>
    <t>{SERVICES}f{ESCAPE}psnupart1~qagsnupart2</t>
  </si>
  <si>
    <t>~qgsnupart3~qpgpsnupart4~qagq</t>
  </si>
  <si>
    <t>TOWN OF PORT BARRE, LOUISIANA</t>
  </si>
  <si>
    <t xml:space="preserve">  SCHEDULE OF UTILITY INCOME(LOSS) PER CUSTOMER PER MONTH</t>
  </si>
  <si>
    <t>|::</t>
  </si>
  <si>
    <t>GAS Dept.</t>
  </si>
  <si>
    <t>WATER Dept.</t>
  </si>
  <si>
    <t>SEWER Dept.</t>
  </si>
  <si>
    <t>TOTALS</t>
  </si>
  <si>
    <t xml:space="preserve">  Year ended September 30,</t>
  </si>
  <si>
    <t>1992</t>
  </si>
  <si>
    <t>1991</t>
  </si>
  <si>
    <t>1990</t>
  </si>
  <si>
    <t>-----</t>
  </si>
  <si>
    <t>APPROXIMATE NUMBER</t>
  </si>
  <si>
    <t xml:space="preserve">      OF CUSTOMERS</t>
  </si>
  <si>
    <t>AMTS PER CUSTOMER PER MONTH-</t>
  </si>
  <si>
    <t xml:space="preserve">    INCOME</t>
  </si>
  <si>
    <t xml:space="preserve">   OPERATING COSTS</t>
  </si>
  <si>
    <t>------</t>
  </si>
  <si>
    <t xml:space="preserve"> OPERATING INCOME (L0SS)</t>
  </si>
  <si>
    <t xml:space="preserve">    DEPRECIATION INCLUDED IN</t>
  </si>
  <si>
    <t xml:space="preserve">    OPERATING INCOME (LOSS)</t>
  </si>
  <si>
    <t xml:space="preserve">      WITHOUT DEPRECIATION</t>
  </si>
  <si>
    <t>======</t>
  </si>
  <si>
    <t>=</t>
  </si>
  <si>
    <t>**Found on V924 to AN960 of TPBBUDGE.WK1**</t>
  </si>
  <si>
    <t>{?}{down}</t>
  </si>
  <si>
    <t>{branch \e}</t>
  </si>
  <si>
    <t>Page  1</t>
  </si>
  <si>
    <t>Special</t>
  </si>
  <si>
    <t>Debt</t>
  </si>
  <si>
    <t>Capital</t>
  </si>
  <si>
    <t>General</t>
  </si>
  <si>
    <t>Revenue</t>
  </si>
  <si>
    <t>Service</t>
  </si>
  <si>
    <t>Projects</t>
  </si>
  <si>
    <t>Utility</t>
  </si>
  <si>
    <t>Actual</t>
  </si>
  <si>
    <t>Estimated</t>
  </si>
  <si>
    <t>Budget</t>
  </si>
  <si>
    <t>Fund</t>
  </si>
  <si>
    <t>Funds</t>
  </si>
  <si>
    <t xml:space="preserve">      Total nonoperating expenses </t>
  </si>
  <si>
    <t xml:space="preserve">      Excess (deficiency) of revenues </t>
  </si>
  <si>
    <t xml:space="preserve">        expenditures and other uses</t>
  </si>
  <si>
    <t>Total</t>
  </si>
  <si>
    <t>Cost</t>
  </si>
  <si>
    <t>Anticipated</t>
  </si>
  <si>
    <t>Incurred</t>
  </si>
  <si>
    <t>Completion</t>
  </si>
  <si>
    <t>Description</t>
  </si>
  <si>
    <t>Date</t>
  </si>
  <si>
    <t>Method of Financing</t>
  </si>
  <si>
    <t xml:space="preserve">       Year Ended September 30,</t>
  </si>
  <si>
    <t xml:space="preserve">      Total revenues</t>
  </si>
  <si>
    <t xml:space="preserve">   Public safety -</t>
  </si>
  <si>
    <t xml:space="preserve">    Police</t>
  </si>
  <si>
    <t xml:space="preserve">  Capital outlay</t>
  </si>
  <si>
    <t xml:space="preserve">            </t>
  </si>
  <si>
    <t xml:space="preserve">      Deficiency of revenues over expenditures</t>
  </si>
  <si>
    <t>Other financing sources:</t>
  </si>
  <si>
    <t xml:space="preserve">        sources over expenditures</t>
  </si>
  <si>
    <t>Fund balance, ending</t>
  </si>
  <si>
    <t xml:space="preserve">      Year Ended September 30,</t>
  </si>
  <si>
    <t xml:space="preserve">    Ad valorem (property)</t>
  </si>
  <si>
    <t xml:space="preserve">    Utility franchise - electric</t>
  </si>
  <si>
    <t xml:space="preserve">      and cable TV</t>
  </si>
  <si>
    <t xml:space="preserve">        Total taxes</t>
  </si>
  <si>
    <t xml:space="preserve">  Licenses and permits:</t>
  </si>
  <si>
    <t xml:space="preserve">    Occupational licenses</t>
  </si>
  <si>
    <t xml:space="preserve">    Liquor licenses</t>
  </si>
  <si>
    <t xml:space="preserve">        Total licenses and permits</t>
  </si>
  <si>
    <t xml:space="preserve">  Intergovernmental:</t>
  </si>
  <si>
    <t xml:space="preserve">    State of Louisiana -</t>
  </si>
  <si>
    <t xml:space="preserve">      Beer taxes</t>
  </si>
  <si>
    <t xml:space="preserve">    St. Landry Parish Housing Authority</t>
  </si>
  <si>
    <t xml:space="preserve">        Total intergovernmental</t>
  </si>
  <si>
    <t xml:space="preserve">  Miscellaneous:</t>
  </si>
  <si>
    <t xml:space="preserve">    Rent </t>
  </si>
  <si>
    <t xml:space="preserve">    Parks and recreation</t>
  </si>
  <si>
    <t xml:space="preserve">        Total miscellaneous</t>
  </si>
  <si>
    <t xml:space="preserve">       </t>
  </si>
  <si>
    <t xml:space="preserve">  General government -</t>
  </si>
  <si>
    <t xml:space="preserve">    Mayor's expense allowance</t>
  </si>
  <si>
    <t xml:space="preserve">    Payroll taxes</t>
  </si>
  <si>
    <t xml:space="preserve">    Group insurance</t>
  </si>
  <si>
    <t xml:space="preserve">    Insurance</t>
  </si>
  <si>
    <t xml:space="preserve">    Professional fees</t>
  </si>
  <si>
    <t xml:space="preserve">    Dues and subscriptions</t>
  </si>
  <si>
    <t xml:space="preserve">    Advertising</t>
  </si>
  <si>
    <t xml:space="preserve">    Coroner's fees</t>
  </si>
  <si>
    <t xml:space="preserve">    Preparation of tax roll</t>
  </si>
  <si>
    <t xml:space="preserve">    Miscellaneous</t>
  </si>
  <si>
    <t xml:space="preserve">      Total general government</t>
  </si>
  <si>
    <t xml:space="preserve">  Public safety - police -</t>
  </si>
  <si>
    <t xml:space="preserve">    Salaries</t>
  </si>
  <si>
    <t xml:space="preserve">    Electricity</t>
  </si>
  <si>
    <t xml:space="preserve">  Highways and streets -</t>
  </si>
  <si>
    <t xml:space="preserve">      Total highways and streets</t>
  </si>
  <si>
    <t>Capital outlay:</t>
  </si>
  <si>
    <t xml:space="preserve">  Public safety -</t>
  </si>
  <si>
    <t>COMBINING STATEMENT OF REVENUES AND EXPENDITURES</t>
  </si>
  <si>
    <t xml:space="preserve">                                                              </t>
  </si>
  <si>
    <t xml:space="preserve">  Sales tax</t>
  </si>
  <si>
    <t xml:space="preserve">    Sales tax collection fee </t>
  </si>
  <si>
    <t xml:space="preserve">    Utilities for street lights</t>
  </si>
  <si>
    <t xml:space="preserve">     City park</t>
  </si>
  <si>
    <t xml:space="preserve">        Total capital outlay</t>
  </si>
  <si>
    <t xml:space="preserve">        over expenditures</t>
  </si>
  <si>
    <t>Fund balance, beginning</t>
  </si>
  <si>
    <t xml:space="preserve">          1996 Sales Tax Bonds and</t>
  </si>
  <si>
    <t xml:space="preserve">        Certificates of Indebtedness</t>
  </si>
  <si>
    <t xml:space="preserve">  Miscellaneous -</t>
  </si>
  <si>
    <t xml:space="preserve">    Interest on deposits</t>
  </si>
  <si>
    <t xml:space="preserve">  Debt service -</t>
  </si>
  <si>
    <t xml:space="preserve">    Principal payment</t>
  </si>
  <si>
    <t xml:space="preserve">    Interest</t>
  </si>
  <si>
    <t xml:space="preserve">    Paying agent fees</t>
  </si>
  <si>
    <t xml:space="preserve">      Total debt service</t>
  </si>
  <si>
    <t xml:space="preserve">      Excess (deficiency) of revenues and </t>
  </si>
  <si>
    <t xml:space="preserve">  Intergovernmental revenue--Grant</t>
  </si>
  <si>
    <t xml:space="preserve">  Miscellaneous-interest</t>
  </si>
  <si>
    <t xml:space="preserve">    Total revenues</t>
  </si>
  <si>
    <t xml:space="preserve">  Capital outlay -</t>
  </si>
  <si>
    <t>Other financing uses:</t>
  </si>
  <si>
    <t xml:space="preserve">      Deficiency of revenues over </t>
  </si>
  <si>
    <t>Operating revenues:</t>
  </si>
  <si>
    <t xml:space="preserve">  Gas sales</t>
  </si>
  <si>
    <t xml:space="preserve">  Water sales</t>
  </si>
  <si>
    <t xml:space="preserve">  Sewer service charges</t>
  </si>
  <si>
    <t xml:space="preserve">  Connection charges</t>
  </si>
  <si>
    <t xml:space="preserve">    Total operating revenues</t>
  </si>
  <si>
    <t>Operating expenses:</t>
  </si>
  <si>
    <t xml:space="preserve">  Salaries</t>
  </si>
  <si>
    <t xml:space="preserve">  Payroll taxes</t>
  </si>
  <si>
    <t xml:space="preserve">  Group insurance</t>
  </si>
  <si>
    <t xml:space="preserve">  Gas purchased</t>
  </si>
  <si>
    <t xml:space="preserve">  Water and sewer chemicals</t>
  </si>
  <si>
    <t xml:space="preserve">  Truck expense</t>
  </si>
  <si>
    <t xml:space="preserve">  Electricity</t>
  </si>
  <si>
    <t xml:space="preserve">  Telephone</t>
  </si>
  <si>
    <t xml:space="preserve">  Office supplies and expense</t>
  </si>
  <si>
    <t xml:space="preserve">  Insurance</t>
  </si>
  <si>
    <t xml:space="preserve">  Professional fees</t>
  </si>
  <si>
    <t xml:space="preserve">  Depreciation</t>
  </si>
  <si>
    <t xml:space="preserve">    Total operating expenses</t>
  </si>
  <si>
    <t xml:space="preserve">    Total nonoperating expenses</t>
  </si>
  <si>
    <t xml:space="preserve">   </t>
  </si>
  <si>
    <t xml:space="preserve">            Gas</t>
  </si>
  <si>
    <t xml:space="preserve">         Water</t>
  </si>
  <si>
    <t xml:space="preserve">           Sewer</t>
  </si>
  <si>
    <t xml:space="preserve">           Total</t>
  </si>
  <si>
    <t xml:space="preserve">  Charges for services -</t>
  </si>
  <si>
    <t xml:space="preserve">    User charges</t>
  </si>
  <si>
    <t xml:space="preserve">    Connection charges</t>
  </si>
  <si>
    <t xml:space="preserve">  Maintenance and supplies</t>
  </si>
  <si>
    <t xml:space="preserve">  Janitorial supplies</t>
  </si>
  <si>
    <t xml:space="preserve">  Drug testing</t>
  </si>
  <si>
    <t xml:space="preserve">  Engineering</t>
  </si>
  <si>
    <t xml:space="preserve">  Allocation of G&amp;A</t>
  </si>
  <si>
    <t>Income (loss) from operations</t>
  </si>
  <si>
    <t>AMENDED  BUDGET</t>
  </si>
  <si>
    <t>AND THE</t>
  </si>
  <si>
    <t>ORIGINAL  BUDGET</t>
  </si>
  <si>
    <t xml:space="preserve">    Sale of equipment</t>
  </si>
  <si>
    <t xml:space="preserve">  Uniforms</t>
  </si>
  <si>
    <t xml:space="preserve">   Interest income</t>
  </si>
  <si>
    <t xml:space="preserve">  Charges for utility services</t>
  </si>
  <si>
    <t xml:space="preserve">    Estimated increase</t>
  </si>
  <si>
    <t xml:space="preserve">         Percentages Based on</t>
  </si>
  <si>
    <t>Used on Budget</t>
  </si>
  <si>
    <t xml:space="preserve">     TOTAL</t>
  </si>
  <si>
    <t>**</t>
  </si>
  <si>
    <t xml:space="preserve">      Video Poker </t>
  </si>
  <si>
    <t xml:space="preserve">         Year Ended September 30, </t>
  </si>
  <si>
    <t xml:space="preserve">   Jail construction</t>
  </si>
  <si>
    <t>Transfers in (out):</t>
  </si>
  <si>
    <t xml:space="preserve">  Transfers in</t>
  </si>
  <si>
    <t xml:space="preserve">  Transfers out</t>
  </si>
  <si>
    <t>CONSOLIDATED BUDGET</t>
  </si>
  <si>
    <t>CAPITAL OUTLAY BUDGET REQUEST</t>
  </si>
  <si>
    <t>GENERAL FUND BUDGET</t>
  </si>
  <si>
    <t>REVENUE SUMMARY</t>
  </si>
  <si>
    <t xml:space="preserve">SUMMARY OF EXPENDITURES </t>
  </si>
  <si>
    <t>SUMMARY OF EXPENDITURES (CONTINUED)</t>
  </si>
  <si>
    <t>SPECIAL REVENUE FUNDS</t>
  </si>
  <si>
    <t>CAPITAL PROJECTS FUND BUDGET</t>
  </si>
  <si>
    <t>UTILITY FUND BUDGET</t>
  </si>
  <si>
    <t>CAPITAL PROJECTS FUNDS BUDGET</t>
  </si>
  <si>
    <t>ANALYSIS BY DEPARTMENT</t>
  </si>
  <si>
    <t>UTILITY FUND</t>
  </si>
  <si>
    <t>Page  2</t>
  </si>
  <si>
    <t>Page  3</t>
  </si>
  <si>
    <t>Page  4</t>
  </si>
  <si>
    <t>Page 5</t>
  </si>
  <si>
    <t>Page  6</t>
  </si>
  <si>
    <t>Page  7</t>
  </si>
  <si>
    <t>Page  8</t>
  </si>
  <si>
    <t>Page  9</t>
  </si>
  <si>
    <t>Page  10</t>
  </si>
  <si>
    <t xml:space="preserve">  Casino revenue</t>
  </si>
  <si>
    <t>Maintenance and repairs</t>
  </si>
  <si>
    <t>Debt Service:</t>
  </si>
  <si>
    <t>Principal retirement</t>
  </si>
  <si>
    <t>Interest and fiscal charges</t>
  </si>
  <si>
    <t>Total debt service</t>
  </si>
  <si>
    <t xml:space="preserve">    Street improvements </t>
  </si>
  <si>
    <t xml:space="preserve">  Transfer from 1987 debt service fund</t>
  </si>
  <si>
    <t xml:space="preserve">    Interest and penalties on taxes</t>
  </si>
  <si>
    <t>Community Center repairs and maintenance</t>
  </si>
  <si>
    <t>Police accessories</t>
  </si>
  <si>
    <t>Office supplies</t>
  </si>
  <si>
    <t>Feeding prisoners</t>
  </si>
  <si>
    <t>Salaries--Chief</t>
  </si>
  <si>
    <t>Salaries</t>
  </si>
  <si>
    <t>Payroll taxes</t>
  </si>
  <si>
    <t>Group insurance</t>
  </si>
  <si>
    <t>Police car expense--fuel and oil</t>
  </si>
  <si>
    <t>Police car accessories</t>
  </si>
  <si>
    <t xml:space="preserve">Police car repairs/maintenance </t>
  </si>
  <si>
    <t>Medical and drug testing</t>
  </si>
  <si>
    <t>Uniforms</t>
  </si>
  <si>
    <t>Telephone</t>
  </si>
  <si>
    <t>Insurance</t>
  </si>
  <si>
    <t>Electricity</t>
  </si>
  <si>
    <t>Miscellaneous</t>
  </si>
  <si>
    <t>Training</t>
  </si>
  <si>
    <t>Total public safety - police</t>
  </si>
  <si>
    <t>Total general government</t>
  </si>
  <si>
    <t>Total culture and recreation</t>
  </si>
  <si>
    <t>Total capital outlay</t>
  </si>
  <si>
    <t>Total expenditures</t>
  </si>
  <si>
    <t xml:space="preserve">              1966 Sales Tax Fund - 1%</t>
  </si>
  <si>
    <t xml:space="preserve">              1996 Sales Tax Fund - 1.2%</t>
  </si>
  <si>
    <t>Fund equity, beginning</t>
  </si>
  <si>
    <t>Fund equity, ending</t>
  </si>
  <si>
    <t xml:space="preserve">        other sources over </t>
  </si>
  <si>
    <t>FYE</t>
  </si>
  <si>
    <t xml:space="preserve">              Total revenues</t>
  </si>
  <si>
    <t xml:space="preserve">      Excess (deficiency) of revenues</t>
  </si>
  <si>
    <t xml:space="preserve">         over expenditures</t>
  </si>
  <si>
    <t>Fund equity, beginning of year</t>
  </si>
  <si>
    <t>Fund equity, end of year</t>
  </si>
  <si>
    <t xml:space="preserve">  Bad debt expense</t>
  </si>
  <si>
    <t>Equipment repairs and maintenance</t>
  </si>
  <si>
    <t>Janitorial</t>
  </si>
  <si>
    <t xml:space="preserve">  Interest</t>
  </si>
  <si>
    <t>ALL FUNDS:</t>
  </si>
  <si>
    <r>
      <t xml:space="preserve">                                  </t>
    </r>
    <r>
      <rPr>
        <u/>
        <sz val="12"/>
        <rFont val="Times New Roman"/>
        <family val="1"/>
      </rPr>
      <t xml:space="preserve">          WATER            </t>
    </r>
    <r>
      <rPr>
        <sz val="12"/>
        <rFont val="Times New Roman"/>
        <family val="1"/>
      </rPr>
      <t xml:space="preserve">                     </t>
    </r>
    <r>
      <rPr>
        <u/>
        <sz val="12"/>
        <rFont val="Times New Roman"/>
        <family val="1"/>
      </rPr>
      <t xml:space="preserve">          SEWER         </t>
    </r>
  </si>
  <si>
    <r>
      <t xml:space="preserve">                                     </t>
    </r>
    <r>
      <rPr>
        <u/>
        <sz val="12"/>
        <rFont val="Times New Roman"/>
        <family val="1"/>
      </rPr>
      <t>From</t>
    </r>
    <r>
      <rPr>
        <sz val="12"/>
        <rFont val="Times New Roman"/>
        <family val="1"/>
      </rPr>
      <t xml:space="preserve">            </t>
    </r>
    <r>
      <rPr>
        <u/>
        <sz val="12"/>
        <rFont val="Times New Roman"/>
        <family val="1"/>
      </rPr>
      <t>To</t>
    </r>
    <r>
      <rPr>
        <sz val="12"/>
        <rFont val="Times New Roman"/>
        <family val="1"/>
      </rPr>
      <t xml:space="preserve">                                </t>
    </r>
    <r>
      <rPr>
        <u/>
        <sz val="12"/>
        <rFont val="Times New Roman"/>
        <family val="1"/>
      </rPr>
      <t>From</t>
    </r>
    <r>
      <rPr>
        <sz val="12"/>
        <rFont val="Times New Roman"/>
        <family val="1"/>
      </rPr>
      <t xml:space="preserve">            </t>
    </r>
    <r>
      <rPr>
        <u/>
        <sz val="12"/>
        <rFont val="Times New Roman"/>
        <family val="1"/>
      </rPr>
      <t>To</t>
    </r>
  </si>
  <si>
    <t xml:space="preserve">                                                               Sincerely,</t>
  </si>
  <si>
    <t xml:space="preserve">                                                                Toria V.  Comeaux</t>
  </si>
  <si>
    <t xml:space="preserve">     Gas rates are not expected to change.  Water and sewer base rates will</t>
  </si>
  <si>
    <t xml:space="preserve"> -</t>
  </si>
  <si>
    <t xml:space="preserve">     Revenues and expenditures have been budgeted by examining each</t>
  </si>
  <si>
    <t xml:space="preserve">two (2) prior years, taking into consideration economic factors and known  </t>
  </si>
  <si>
    <t xml:space="preserve">uses the uniform revenue and expenditure classifications and includes </t>
  </si>
  <si>
    <t>information similar to the information required by the form Annual Report</t>
  </si>
  <si>
    <t>on the Budget.  This budget represents a continuation of present service</t>
  </si>
  <si>
    <t>levels.  The budget documents attached include anticipated revenues and</t>
  </si>
  <si>
    <t>expenditures for the General Fund, the Special Revenue Funds, the Debt</t>
  </si>
  <si>
    <t xml:space="preserve">Service Funds, and the Utility Fund.  Also, attached is a Capital Outlay </t>
  </si>
  <si>
    <t>Budget Request.  There are certain aspects of the budget which are</t>
  </si>
  <si>
    <t>detailed below:</t>
  </si>
  <si>
    <t xml:space="preserve">      I have attempted to present a budget to you in a fashion and to a detail</t>
  </si>
  <si>
    <t>that will be helpful in your formulating a financial plan for the ensuing budget</t>
  </si>
  <si>
    <t xml:space="preserve">year.  I will be available for any information or help that you may need in  </t>
  </si>
  <si>
    <t>interpreting specific items of the budget.  Additionally, should your consideration</t>
  </si>
  <si>
    <t xml:space="preserve">and the public hearing result in adjustments to this document, I am prepared to </t>
  </si>
  <si>
    <t>incorporate those into this document.</t>
  </si>
  <si>
    <t>BUDGET MESSAGE</t>
  </si>
  <si>
    <t>Law enforcement fees and charges</t>
  </si>
  <si>
    <t xml:space="preserve">      Video poker </t>
  </si>
  <si>
    <t xml:space="preserve">      Grass Cutting</t>
  </si>
  <si>
    <t xml:space="preserve">      Grass cutting</t>
  </si>
  <si>
    <t>Page  12</t>
  </si>
  <si>
    <t>ESTIMATING SCHEDULE FOR AMENDED BUDGET</t>
  </si>
  <si>
    <t>Page 8</t>
  </si>
  <si>
    <t>Page  15</t>
  </si>
  <si>
    <t>Page  18</t>
  </si>
  <si>
    <t>Page  19</t>
  </si>
  <si>
    <t xml:space="preserve">Estimating Schedules - </t>
  </si>
  <si>
    <t xml:space="preserve">    General Fund</t>
  </si>
  <si>
    <t xml:space="preserve">    Special revenue funds</t>
  </si>
  <si>
    <t xml:space="preserve">    Debt service fund</t>
  </si>
  <si>
    <t xml:space="preserve">    Utility Fund</t>
  </si>
  <si>
    <t>16</t>
  </si>
  <si>
    <t>17</t>
  </si>
  <si>
    <t>TABLE OF CONTENTS</t>
  </si>
  <si>
    <t>DEBT SERVICE FUNDS BUDGET</t>
  </si>
  <si>
    <t>ESTIMATING SCHEDULES FOR AMENDED BUDGET</t>
  </si>
  <si>
    <t>Page  13</t>
  </si>
  <si>
    <t>Page 14</t>
  </si>
  <si>
    <t>Page  16</t>
  </si>
  <si>
    <t>Page 17</t>
  </si>
  <si>
    <t>12 - 15</t>
  </si>
  <si>
    <t>18</t>
  </si>
  <si>
    <t xml:space="preserve">  Transfer from 1966 Sales Tax Fund</t>
  </si>
  <si>
    <t xml:space="preserve">  Transfer to General Fund</t>
  </si>
  <si>
    <t xml:space="preserve">2 Months </t>
  </si>
  <si>
    <t xml:space="preserve">      St. Landry Parish Housing Authority</t>
  </si>
  <si>
    <t xml:space="preserve">    Travel, meetings and conventions</t>
  </si>
  <si>
    <t xml:space="preserve">      Excess (deficiency) of revenues and other</t>
  </si>
  <si>
    <t xml:space="preserve">10 Months </t>
  </si>
  <si>
    <t xml:space="preserve">  Transfer out - Debt Service</t>
  </si>
  <si>
    <t>Allocable expenses apportioned</t>
  </si>
  <si>
    <t xml:space="preserve"> as follows--</t>
  </si>
  <si>
    <t xml:space="preserve">   Gas</t>
  </si>
  <si>
    <t xml:space="preserve">   Water </t>
  </si>
  <si>
    <t xml:space="preserve">   Sewer</t>
  </si>
  <si>
    <t xml:space="preserve">        and other sources over </t>
  </si>
  <si>
    <t xml:space="preserve">Allocable expenses apportioned </t>
  </si>
  <si>
    <t xml:space="preserve">   as follows--</t>
  </si>
  <si>
    <t xml:space="preserve">    Gas</t>
  </si>
  <si>
    <t xml:space="preserve">    Water </t>
  </si>
  <si>
    <t xml:space="preserve">    Sewer</t>
  </si>
  <si>
    <t xml:space="preserve">       TOTAL</t>
  </si>
  <si>
    <t>Page  11</t>
  </si>
  <si>
    <t>Capital projects fund</t>
  </si>
  <si>
    <t xml:space="preserve">                          TOWN OF PORT BARRE, LOUISIANA</t>
  </si>
  <si>
    <t>Building repairs and maintenance</t>
  </si>
  <si>
    <t>Drug enforcement</t>
  </si>
  <si>
    <t>Parks and recreation director salary</t>
  </si>
  <si>
    <t>Culture and recreation -</t>
  </si>
  <si>
    <t>Park director payroll taxes</t>
  </si>
  <si>
    <t>Salaries-council on aging program</t>
  </si>
  <si>
    <t>Payroll taxes-council on aging program</t>
  </si>
  <si>
    <t>Community Center electricity</t>
  </si>
  <si>
    <t xml:space="preserve"> Parks and ball fields:</t>
  </si>
  <si>
    <t>Repairs and maintenance</t>
  </si>
  <si>
    <t>Youth league:</t>
  </si>
  <si>
    <t>Contract labor</t>
  </si>
  <si>
    <t>Petty cash</t>
  </si>
  <si>
    <t xml:space="preserve"> Culture and recreation -</t>
  </si>
  <si>
    <t xml:space="preserve">  Capital outlay - governmental funds </t>
  </si>
  <si>
    <t xml:space="preserve">  Taxes:</t>
  </si>
  <si>
    <t>Revenues</t>
  </si>
  <si>
    <t xml:space="preserve">Police car expense--fuel </t>
  </si>
  <si>
    <t>%</t>
  </si>
  <si>
    <t>Change</t>
  </si>
  <si>
    <t>Original</t>
  </si>
  <si>
    <t>`</t>
  </si>
  <si>
    <t>Water</t>
  </si>
  <si>
    <t>Sewer</t>
  </si>
  <si>
    <t>G &amp; A</t>
  </si>
  <si>
    <t>Gas</t>
  </si>
  <si>
    <t>Salaries - Police Chief</t>
  </si>
  <si>
    <t>Library:</t>
  </si>
  <si>
    <t xml:space="preserve">    Salaries-Mayor and council </t>
  </si>
  <si>
    <t>Librarian salary</t>
  </si>
  <si>
    <t xml:space="preserve">   Interest expense</t>
  </si>
  <si>
    <t>Item</t>
  </si>
  <si>
    <t>Interest and penalties on taxes</t>
  </si>
  <si>
    <t>Payroll taxes - librarian</t>
  </si>
  <si>
    <t>Travel and meetings</t>
  </si>
  <si>
    <t>Insurance deductible</t>
  </si>
  <si>
    <t>Youth league donations</t>
  </si>
  <si>
    <t xml:space="preserve">    Library donations</t>
  </si>
  <si>
    <t xml:space="preserve">    Other miscellaneous revenue</t>
  </si>
  <si>
    <t>Youth League donations</t>
  </si>
  <si>
    <t xml:space="preserve">    Library - other income</t>
  </si>
  <si>
    <t>Payroll taxes - elderly assistance program</t>
  </si>
  <si>
    <t>Salaries - elderly assistance program</t>
  </si>
  <si>
    <t>Payroll taxes-elderly assistance program</t>
  </si>
  <si>
    <t>Miscellaneous and other Youth League exp.</t>
  </si>
  <si>
    <t>Town of Port Barre, Louisiana</t>
  </si>
  <si>
    <t>ORDINANCE NO. __________________</t>
  </si>
  <si>
    <t xml:space="preserve">    The following ordinance was offered by ________________________    and seconded by</t>
  </si>
  <si>
    <t>___________________________.</t>
  </si>
  <si>
    <t xml:space="preserve">    An  Ordinance adopting an Operating Budget of Revenues and Expenditures for the fiscal year</t>
  </si>
  <si>
    <t xml:space="preserve">    BE IT ORDAINED BY THE BOARD OF ALDERMEN OF Town of Port Barre, LOUISIANA,</t>
  </si>
  <si>
    <t>in general session convened that:</t>
  </si>
  <si>
    <t xml:space="preserve">    SECTION 1:  The attached detailed estimate of Revenues for the fiscal year beginning October 1,</t>
  </si>
  <si>
    <t>Budget of Revenues for the Town  of Port Barre, during the same period.</t>
  </si>
  <si>
    <t xml:space="preserve">    SECTION 2:  The attached estimates of Expenditures by departments for the fiscal year beginning</t>
  </si>
  <si>
    <t>of Expenditures for the Town of Port Barre during the same period.</t>
  </si>
  <si>
    <t xml:space="preserve">    SECTION 3:  The adoption of this Operating Budget of Expenditures be and the same is hereby</t>
  </si>
  <si>
    <t>declared to operate as an appropriation of the amount therein set forth within the terms of the</t>
  </si>
  <si>
    <t>budget classification.</t>
  </si>
  <si>
    <t>budget.</t>
  </si>
  <si>
    <t>The above ordinance was adopted on a vote taken by yeas and nays entered on the minutes of the clerk as follows:</t>
  </si>
  <si>
    <t>YEAS:</t>
  </si>
  <si>
    <t>NAYS:</t>
  </si>
  <si>
    <t>The  ordinance is declared PASSED AND ADOPTED AT Port Barre, Louisiana, on this</t>
  </si>
  <si>
    <t>Gilfred Savoy Jr., Mayor</t>
  </si>
  <si>
    <t>ATTEST:</t>
  </si>
  <si>
    <t>Toria Comeaux, Town Clerk</t>
  </si>
  <si>
    <t xml:space="preserve">    An  Ordinance adopting an Amended Operating Budget of Revenues and Expenditures for the fiscal year</t>
  </si>
  <si>
    <t>Budget of Revenues for the Town of Port Barre, during the same period.</t>
  </si>
  <si>
    <t>budget document, presented as Estimated amounts.</t>
  </si>
  <si>
    <t xml:space="preserve">    SECTION 6:   The Ordinance also includes the approval of annual salaries for the elected and certain </t>
  </si>
  <si>
    <t xml:space="preserve">    SECTION 5:  The Mayor of the Town of Port Barre shall have the authority to make changes within each department's operating budget to the extent that the department's total budget allocation is not modified without approval by the governing authority (Board of Aldermen).  Modifications which change a department's total budget allocation must be approved by the Board of Aldermen.  Additionally, all modifications to budgeted capital outlay must be approved by the Board of Aldermen.</t>
  </si>
  <si>
    <t xml:space="preserve">    SECTION 5:  The Mayor of the Port Barre shall have the authority to make changes within each department's operating budget to the extent that the department's total budget allocation is not modified without approval by the governing authority (Board of Aldermen).  Modifications which change a department's total budget allocation must be approved by the Board of Aldermen.  Additionally, all modifications to budgeted capital outlay must be approved by the Board of Aldermen.</t>
  </si>
  <si>
    <t xml:space="preserve">    Legal fees/lawsuit claim</t>
  </si>
  <si>
    <t>set forth under R.S.  39:1316 since the consolidated budget statement</t>
  </si>
  <si>
    <t xml:space="preserve">    Truck and equipment fuel</t>
  </si>
  <si>
    <t xml:space="preserve">    Truck and equip. repairs and maint.</t>
  </si>
  <si>
    <t xml:space="preserve">    Street materials, maint. and supplies</t>
  </si>
  <si>
    <t xml:space="preserve"> Year Ended September 30, 2016</t>
  </si>
  <si>
    <t xml:space="preserve">  Transfer in - 1966 Sales Tax Fund</t>
  </si>
  <si>
    <t xml:space="preserve">      On-behalf payments</t>
  </si>
  <si>
    <t>Transfers from Utility Fund</t>
  </si>
  <si>
    <t>Election fees</t>
  </si>
  <si>
    <t xml:space="preserve">changes of facts.  </t>
  </si>
  <si>
    <t xml:space="preserve">    Net loss</t>
  </si>
  <si>
    <t xml:space="preserve">    Operating loss</t>
  </si>
  <si>
    <t xml:space="preserve">     Net transfers in (out)</t>
  </si>
  <si>
    <t xml:space="preserve">     Deficiency of revenues over expenditures</t>
  </si>
  <si>
    <t xml:space="preserve">      Deficiency of revenues and </t>
  </si>
  <si>
    <t xml:space="preserve">      Deficiency of revenues</t>
  </si>
  <si>
    <t xml:space="preserve">      Excess of revenues over expenditures</t>
  </si>
  <si>
    <t xml:space="preserve">  Transfer to other funds</t>
  </si>
  <si>
    <t xml:space="preserve">      Excess of revenues over </t>
  </si>
  <si>
    <t xml:space="preserve">  Intergovernmental revenue--grant</t>
  </si>
  <si>
    <t xml:space="preserve">Insurance Deductable </t>
  </si>
  <si>
    <t xml:space="preserve">Street improvement projects </t>
  </si>
  <si>
    <t>Street improvements  project</t>
  </si>
  <si>
    <t>Year Ending September 30, 2017</t>
  </si>
  <si>
    <t>Election Fees</t>
  </si>
  <si>
    <t>5135 +5140+5155+5160</t>
  </si>
  <si>
    <t>5070+5050</t>
  </si>
  <si>
    <t>*</t>
  </si>
  <si>
    <t xml:space="preserve">  Transfer in - 1996 Sales Tax Fund</t>
  </si>
  <si>
    <t xml:space="preserve">    Bond processing fees/other PD income </t>
  </si>
  <si>
    <t xml:space="preserve">    Bond processing fees/other PD income</t>
  </si>
  <si>
    <t xml:space="preserve">    Computer  consulting/tech support</t>
  </si>
  <si>
    <t>Youth League, including fundraisers and sponsors</t>
  </si>
  <si>
    <t>Youth league profit</t>
  </si>
  <si>
    <t>Other Financing Sources:</t>
  </si>
  <si>
    <t xml:space="preserve">  Contract services-maint. manager</t>
  </si>
  <si>
    <t>Feeding prisoners &amp; prisoner expenses</t>
  </si>
  <si>
    <t xml:space="preserve">    AMR System</t>
  </si>
  <si>
    <t xml:space="preserve">remain the same, and the consumption rates over the 2,500 gallon </t>
  </si>
  <si>
    <t xml:space="preserve">    Insurance reimbursement</t>
  </si>
  <si>
    <t xml:space="preserve">    Insurance reimbursement - police</t>
  </si>
  <si>
    <t xml:space="preserve">      Operating income (loss)</t>
  </si>
  <si>
    <t xml:space="preserve">      Income (loss) before transfers</t>
  </si>
  <si>
    <t xml:space="preserve">    Loss before transfers</t>
  </si>
  <si>
    <t>+</t>
  </si>
  <si>
    <t xml:space="preserve">  Transfer out - Utility Fund</t>
  </si>
  <si>
    <t xml:space="preserve">  Transfer out - 1996 Sales Tax Fund</t>
  </si>
  <si>
    <t xml:space="preserve">         other sources over expenditures</t>
  </si>
  <si>
    <t xml:space="preserve">         and other uses</t>
  </si>
  <si>
    <t xml:space="preserve">      Total other financing</t>
  </si>
  <si>
    <t xml:space="preserve">         sources (uses)</t>
  </si>
  <si>
    <t xml:space="preserve">  Transfers from Utility Fund</t>
  </si>
  <si>
    <t xml:space="preserve">  Transfer out - 1966 Sales Tax Fund</t>
  </si>
  <si>
    <t xml:space="preserve">  Culture and recreation -</t>
  </si>
  <si>
    <r>
      <t xml:space="preserve"> </t>
    </r>
    <r>
      <rPr>
        <sz val="12"/>
        <rFont val="Times New Roman"/>
        <family val="1"/>
      </rPr>
      <t>Equipment</t>
    </r>
  </si>
  <si>
    <t>Automobiles</t>
  </si>
  <si>
    <t xml:space="preserve">1996 Sales Tax Bonds </t>
  </si>
  <si>
    <t>G  &amp; A</t>
  </si>
  <si>
    <t>2017 and ending September 30, 2018, be and the same is hereby adopted to serve as an Operation</t>
  </si>
  <si>
    <t>October 1, 2017, and ending September 30, 2018, be and the same is hereby adopted to serve as a budget</t>
  </si>
  <si>
    <t>YEAR ENDING SEPTEMBER 30, 2018</t>
  </si>
  <si>
    <t>Year Ending September 30, 2018</t>
  </si>
  <si>
    <t xml:space="preserve">Estimated Increase </t>
  </si>
  <si>
    <t xml:space="preserve">Elderly assistance program </t>
  </si>
  <si>
    <t>Salary increase</t>
  </si>
  <si>
    <t>Salaries-Mayor and council</t>
  </si>
  <si>
    <t>Salaries - admin</t>
  </si>
  <si>
    <t>Salary increase - admin</t>
  </si>
  <si>
    <t>Mayor's expense allowance</t>
  </si>
  <si>
    <t>Computer  consulting/tech support</t>
  </si>
  <si>
    <t>Travel, meetings and conventions</t>
  </si>
  <si>
    <t>Legal fees/lawsuit claim</t>
  </si>
  <si>
    <t>Professional fees</t>
  </si>
  <si>
    <t>Dues and subscriptions</t>
  </si>
  <si>
    <t>Advertising</t>
  </si>
  <si>
    <t>Coroner's fees</t>
  </si>
  <si>
    <t>Preparation of tax roll</t>
  </si>
  <si>
    <t>Salary increase - council on aging</t>
  </si>
  <si>
    <t>Salary increase - elderly assistance program</t>
  </si>
  <si>
    <t>Highways and streets -</t>
  </si>
  <si>
    <t>Truck and equipment fuel</t>
  </si>
  <si>
    <t>Truck and equip. repairs and maint.</t>
  </si>
  <si>
    <t>Street materials, maint. and supplies</t>
  </si>
  <si>
    <t>Utilities for street lights</t>
  </si>
  <si>
    <t>Total highways and streets</t>
  </si>
  <si>
    <t>Gas purchased</t>
  </si>
  <si>
    <t>Maintenance and supplies</t>
  </si>
  <si>
    <t>Water and sewer chemicals</t>
  </si>
  <si>
    <t>Contract services-Maint. manager</t>
  </si>
  <si>
    <t>Janitorial supplies</t>
  </si>
  <si>
    <t>Drug testing</t>
  </si>
  <si>
    <t>Truck expense</t>
  </si>
  <si>
    <t>Office supplies and expense</t>
  </si>
  <si>
    <t>Engineering</t>
  </si>
  <si>
    <t>Bad debt expense</t>
  </si>
  <si>
    <t>Depreciation</t>
  </si>
  <si>
    <t>Allocation of G&amp;A</t>
  </si>
  <si>
    <t>Contract services - maintenance mgr</t>
  </si>
  <si>
    <t>Engineering fees</t>
  </si>
  <si>
    <t xml:space="preserve">Allocation of G&amp;A </t>
  </si>
  <si>
    <t>Total operating expenses</t>
  </si>
  <si>
    <t xml:space="preserve">    In Town                     4.25            4.40                               4.35           4.50</t>
  </si>
  <si>
    <t xml:space="preserve">    Out of Town              4.55            4.70                                n/a              n/a</t>
  </si>
  <si>
    <t>The Town's planned capital purchases are detailed on the capital outlay</t>
  </si>
  <si>
    <t xml:space="preserve"> BUDGET ORDINANCE---YE 09/30/19</t>
  </si>
  <si>
    <t>beginning October 1, 2018 and ending September 30, 2019--See attached Budget FYE 09/30/2019.</t>
  </si>
  <si>
    <t>2018 and ending September 30, 2019, be and the same is hereby adopted to serve as an Operation</t>
  </si>
  <si>
    <t>October 1, 2018, and ending September 30, 2019, be and the same is hereby adopted to serve as a budget</t>
  </si>
  <si>
    <t xml:space="preserve">    SECTION 4:  Amounts are available for expenditures only to the extent included with the 2018-19</t>
  </si>
  <si>
    <t>appointed city officials and are included in the attached 2019 Budget as budget appropriations.</t>
  </si>
  <si>
    <t>the ______ day of September, 2018.</t>
  </si>
  <si>
    <t>AMENDED  BUDGET ORDINANCE---YE 09/30/18</t>
  </si>
  <si>
    <t>beginning October 1, 2017 and ending September 30, 2018-See attached Budget FYE 09/30/2019 - Estimated Amounts.</t>
  </si>
  <si>
    <t>the _____ day of September, 2018.</t>
  </si>
  <si>
    <t>YEAR ENDING SEPTEMBER 30, 2019</t>
  </si>
  <si>
    <t>Year Ending September 30, 2019</t>
  </si>
  <si>
    <t xml:space="preserve">     I submit to you the budget for the fiscal year 2019, beginning</t>
  </si>
  <si>
    <t>October 1, 2018.  This budget satisfies the legal requirement of filing as</t>
  </si>
  <si>
    <t>line item and basing the 2019 budget on the approximate amounts for the</t>
  </si>
  <si>
    <t>minimum are expected to change effective 10/1/18 based on the following:</t>
  </si>
  <si>
    <t>budget request (page 2) of the 9/30/2019 budget.</t>
  </si>
  <si>
    <t>Equipment</t>
  </si>
  <si>
    <t xml:space="preserve"> Donation - St. Landry Disposal</t>
  </si>
  <si>
    <t xml:space="preserve">    Salaries - admin</t>
  </si>
  <si>
    <t xml:space="preserve">    Salary increase</t>
  </si>
  <si>
    <t xml:space="preserve">  Salary increase</t>
  </si>
  <si>
    <t>Debt issuance cost</t>
  </si>
  <si>
    <t>Interest expense</t>
  </si>
  <si>
    <t>Debt issuance costs</t>
  </si>
  <si>
    <t>Interest income</t>
  </si>
  <si>
    <t>FOTL building roof</t>
  </si>
  <si>
    <t>Security cameras</t>
  </si>
  <si>
    <t xml:space="preserve">  Transfer in (out) - Debt Service</t>
  </si>
  <si>
    <t>Library building</t>
  </si>
  <si>
    <t>Youth League equipment</t>
  </si>
  <si>
    <t>Ballpark improvements</t>
  </si>
  <si>
    <t>Governmental Funds:</t>
  </si>
  <si>
    <t>General Fund:</t>
  </si>
  <si>
    <t xml:space="preserve">Public safety - </t>
  </si>
  <si>
    <t>Police automobiles</t>
  </si>
  <si>
    <t>General Fund revenues</t>
  </si>
  <si>
    <t xml:space="preserve">Culture and recreation - </t>
  </si>
  <si>
    <t>1966 Sales Tax Fund</t>
  </si>
  <si>
    <t>Total General Fund</t>
  </si>
  <si>
    <t xml:space="preserve">Highways and streets - </t>
  </si>
  <si>
    <t>Proceeds from issuance of debt</t>
  </si>
  <si>
    <t>Total other financing sources</t>
  </si>
  <si>
    <t xml:space="preserve">  Proceeds from issuance of debt </t>
  </si>
  <si>
    <t>Total governmental funds</t>
  </si>
  <si>
    <t>Proprietary Fund:</t>
  </si>
  <si>
    <t>Utility Fund:</t>
  </si>
  <si>
    <t>Utility trucks (2)</t>
  </si>
  <si>
    <t>Excess utility revenues</t>
  </si>
  <si>
    <t>Police cars</t>
  </si>
  <si>
    <t>RV park improvements</t>
  </si>
  <si>
    <t>RV Park improvements</t>
  </si>
  <si>
    <t>Total 1966 Sales Tax Fund</t>
  </si>
  <si>
    <t>Water system improvements</t>
  </si>
  <si>
    <t>Total Utility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</si>
</sst>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_)"/>
    <numFmt numFmtId="165" formatCode="mmmm\ d\,\ yyyy"/>
    <numFmt numFmtId="166" formatCode="_(&quot;$&quot;* #,##0.000_);_(&quot;$&quot;* \(#,##0.000\);_(&quot;$&quot;* &quot;-&quot;???_);_(@_)"/>
    <numFmt numFmtId="167" formatCode="_(* #,##0.000_);_(* \(#,##0.000\);_(* &quot;-&quot;???_);_(@_)"/>
    <numFmt numFmtId="168" formatCode="_(* #,##0_);_(* \(#,##0\);_(* &quot;-&quot;???_);_(@_)"/>
    <numFmt numFmtId="169" formatCode="0.000000"/>
    <numFmt numFmtId="170" formatCode="#,##0.0000_);\(#,##0.0000\)"/>
    <numFmt numFmtId="171" formatCode="_(* #,##0_);_(* \(#,##0\);_(* &quot;-&quot;?_);_(@_)"/>
    <numFmt numFmtId="172" formatCode="0.0000%"/>
    <numFmt numFmtId="173" formatCode="_(&quot;$&quot;* #,##0_);_(&quot;$&quot;* \(#,##0\);_(&quot;$&quot;* &quot;-&quot;???_);_(@_)"/>
    <numFmt numFmtId="174" formatCode="_(* #,##0_);_(* \(#,##0\);_(* &quot;-&quot;??_);_(@_)"/>
    <numFmt numFmtId="175" formatCode="_(&quot;$&quot;* #,##0_);_(&quot;$&quot;* \(#,##0\);_(&quot;$&quot;* &quot;-&quot;??_);_(@_)"/>
  </numFmts>
  <fonts count="31" x14ac:knownFonts="1">
    <font>
      <sz val="12"/>
      <name val="Helv"/>
    </font>
    <font>
      <sz val="10"/>
      <name val="Arial"/>
      <family val="2"/>
    </font>
    <font>
      <sz val="8"/>
      <color indexed="81"/>
      <name val="Tahoma"/>
      <family val="2"/>
    </font>
    <font>
      <sz val="12"/>
      <name val="Times New Roman"/>
      <family val="1"/>
    </font>
    <font>
      <b/>
      <sz val="12"/>
      <name val="Times New Roman"/>
      <family val="1"/>
    </font>
    <font>
      <u/>
      <sz val="12"/>
      <name val="Times New Roman"/>
      <family val="1"/>
    </font>
    <font>
      <b/>
      <sz val="18"/>
      <name val="Times New Roman"/>
      <family val="1"/>
    </font>
    <font>
      <b/>
      <sz val="16"/>
      <name val="Times New Roman"/>
      <family val="1"/>
    </font>
    <font>
      <u val="double"/>
      <sz val="12"/>
      <name val="Times New Roman"/>
      <family val="1"/>
    </font>
    <font>
      <u val="singleAccounting"/>
      <sz val="12"/>
      <name val="Times New Roman"/>
      <family val="1"/>
    </font>
    <font>
      <sz val="12"/>
      <color indexed="48"/>
      <name val="Times New Roman"/>
      <family val="1"/>
    </font>
    <font>
      <u val="singleAccounting"/>
      <sz val="12"/>
      <color indexed="48"/>
      <name val="Times New Roman"/>
      <family val="1"/>
    </font>
    <font>
      <b/>
      <sz val="12"/>
      <color indexed="48"/>
      <name val="Times New Roman"/>
      <family val="1"/>
    </font>
    <font>
      <u/>
      <sz val="12"/>
      <color indexed="48"/>
      <name val="Times New Roman"/>
      <family val="1"/>
    </font>
    <font>
      <u val="doubleAccounting"/>
      <sz val="12"/>
      <color indexed="48"/>
      <name val="Times New Roman"/>
      <family val="1"/>
    </font>
    <font>
      <b/>
      <sz val="14"/>
      <name val="Times New Roman"/>
      <family val="1"/>
    </font>
    <font>
      <u/>
      <sz val="10"/>
      <name val="Times New Roman"/>
      <family val="1"/>
    </font>
    <font>
      <u val="singleAccounting"/>
      <sz val="10"/>
      <name val="Times New Roman"/>
      <family val="1"/>
    </font>
    <font>
      <u val="doubleAccounting"/>
      <sz val="12"/>
      <name val="Times New Roman"/>
      <family val="1"/>
    </font>
    <font>
      <sz val="12"/>
      <name val="Helv"/>
    </font>
    <font>
      <sz val="11"/>
      <name val="Times New Roman"/>
      <family val="1"/>
    </font>
    <font>
      <b/>
      <u val="singleAccounting"/>
      <sz val="12"/>
      <name val="Times New Roman"/>
      <family val="1"/>
    </font>
    <font>
      <b/>
      <sz val="11"/>
      <name val="Times New Roman"/>
      <family val="1"/>
    </font>
    <font>
      <u val="singleAccounting"/>
      <sz val="11"/>
      <name val="Times New Roman"/>
      <family val="1"/>
    </font>
    <font>
      <u/>
      <sz val="11"/>
      <name val="Times New Roman"/>
      <family val="1"/>
    </font>
    <font>
      <u val="doubleAccounting"/>
      <sz val="11"/>
      <name val="Times New Roman"/>
      <family val="1"/>
    </font>
    <font>
      <sz val="14"/>
      <name val="Times New Roman"/>
      <family val="1"/>
    </font>
    <font>
      <sz val="12"/>
      <color indexed="12"/>
      <name val="Times New Roman"/>
      <family val="1"/>
    </font>
    <font>
      <i/>
      <sz val="12"/>
      <name val="Times New Roman"/>
      <family val="1"/>
    </font>
    <font>
      <b/>
      <u val="singleAccounting"/>
      <sz val="11"/>
      <name val="Times New Roman"/>
      <family val="1"/>
    </font>
    <font>
      <u val="double"/>
      <sz val="11"/>
      <name val="Times New Roman"/>
      <family val="1"/>
    </font>
  </fonts>
  <fills count="5">
    <fill>
      <patternFill patternType="none"/>
    </fill>
    <fill>
      <patternFill patternType="gray125"/>
    </fill>
    <fill>
      <patternFill patternType="lightGray">
        <fgColor indexed="8"/>
        <bgColor indexed="18"/>
      </patternFill>
    </fill>
    <fill>
      <patternFill patternType="solid">
        <fgColor indexed="22"/>
        <bgColor indexed="64"/>
      </patternFill>
    </fill>
    <fill>
      <patternFill patternType="solid">
        <fgColor rgb="FFFFFF00"/>
        <bgColor indexed="64"/>
      </patternFill>
    </fill>
  </fills>
  <borders count="10">
    <border>
      <left/>
      <right/>
      <top/>
      <bottom/>
      <diagonal/>
    </border>
    <border>
      <left/>
      <right/>
      <top/>
      <bottom style="thin">
        <color indexed="8"/>
      </bottom>
      <diagonal/>
    </border>
    <border>
      <left/>
      <right/>
      <top/>
      <bottom style="thin">
        <color indexed="64"/>
      </bottom>
      <diagonal/>
    </border>
    <border>
      <left style="thin">
        <color indexed="8"/>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thin">
        <color indexed="64"/>
      </right>
      <top/>
      <bottom/>
      <diagonal/>
    </border>
    <border>
      <left/>
      <right/>
      <top style="thin">
        <color indexed="8"/>
      </top>
      <bottom/>
      <diagonal/>
    </border>
    <border>
      <left/>
      <right style="thin">
        <color indexed="8"/>
      </right>
      <top/>
      <bottom style="thin">
        <color indexed="8"/>
      </bottom>
      <diagonal/>
    </border>
  </borders>
  <cellStyleXfs count="6">
    <xf numFmtId="0" fontId="0" fillId="0" borderId="0"/>
    <xf numFmtId="41" fontId="1" fillId="0" borderId="0" applyFont="0" applyFill="0" applyBorder="0" applyAlignment="0" applyProtection="0"/>
    <xf numFmtId="44" fontId="1" fillId="0" borderId="0" applyFont="0" applyFill="0" applyBorder="0" applyAlignment="0" applyProtection="0"/>
    <xf numFmtId="37" fontId="19" fillId="0" borderId="0"/>
    <xf numFmtId="9" fontId="1" fillId="0" borderId="0" applyFont="0" applyFill="0" applyBorder="0" applyAlignment="0" applyProtection="0"/>
    <xf numFmtId="43" fontId="19" fillId="0" borderId="0" applyFont="0" applyFill="0" applyBorder="0" applyAlignment="0" applyProtection="0"/>
  </cellStyleXfs>
  <cellXfs count="641">
    <xf numFmtId="0" fontId="0" fillId="0" borderId="0" xfId="0"/>
    <xf numFmtId="0" fontId="3" fillId="0" borderId="0" xfId="0" applyFont="1"/>
    <xf numFmtId="0" fontId="4" fillId="0" borderId="0" xfId="0" applyFont="1"/>
    <xf numFmtId="5" fontId="3" fillId="0" borderId="0" xfId="0" applyNumberFormat="1" applyFont="1" applyProtection="1"/>
    <xf numFmtId="37" fontId="3" fillId="0" borderId="0" xfId="0" applyNumberFormat="1" applyFont="1" applyProtection="1"/>
    <xf numFmtId="37" fontId="3" fillId="0" borderId="1" xfId="0" applyNumberFormat="1" applyFont="1" applyBorder="1" applyProtection="1"/>
    <xf numFmtId="0" fontId="3" fillId="0" borderId="1" xfId="0" applyFont="1" applyBorder="1"/>
    <xf numFmtId="0" fontId="3" fillId="0" borderId="0" xfId="0" applyFont="1" applyAlignment="1">
      <alignment horizontal="center"/>
    </xf>
    <xf numFmtId="0" fontId="5" fillId="0" borderId="0" xfId="0" applyFont="1" applyBorder="1" applyAlignment="1">
      <alignment horizontal="right"/>
    </xf>
    <xf numFmtId="41" fontId="3" fillId="0" borderId="0" xfId="0" applyNumberFormat="1" applyFont="1" applyBorder="1"/>
    <xf numFmtId="0" fontId="3" fillId="0" borderId="0" xfId="0" applyFont="1" applyAlignment="1">
      <alignment horizontal="fill"/>
    </xf>
    <xf numFmtId="7" fontId="3" fillId="0" borderId="0" xfId="0" applyNumberFormat="1" applyFont="1" applyProtection="1"/>
    <xf numFmtId="39" fontId="3" fillId="0" borderId="0" xfId="0" applyNumberFormat="1" applyFont="1" applyProtection="1"/>
    <xf numFmtId="164" fontId="3" fillId="0" borderId="0" xfId="0" applyNumberFormat="1" applyFont="1" applyProtection="1"/>
    <xf numFmtId="0" fontId="3" fillId="0" borderId="0" xfId="0" applyFont="1" applyAlignment="1">
      <alignment horizontal="right"/>
    </xf>
    <xf numFmtId="39" fontId="3" fillId="0" borderId="0" xfId="0" applyNumberFormat="1" applyFont="1" applyAlignment="1" applyProtection="1">
      <alignment horizontal="right"/>
    </xf>
    <xf numFmtId="39" fontId="3" fillId="0" borderId="0" xfId="0" applyNumberFormat="1" applyFont="1" applyAlignment="1" applyProtection="1">
      <alignment horizontal="fill"/>
    </xf>
    <xf numFmtId="0" fontId="6"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centerContinuous"/>
    </xf>
    <xf numFmtId="41" fontId="3" fillId="0" borderId="0" xfId="1" applyFont="1" applyAlignment="1">
      <alignment horizontal="centerContinuous"/>
    </xf>
    <xf numFmtId="165" fontId="4" fillId="0" borderId="0" xfId="0" applyNumberFormat="1" applyFont="1" applyAlignment="1">
      <alignment horizontal="centerContinuous"/>
    </xf>
    <xf numFmtId="41" fontId="3" fillId="0" borderId="0" xfId="1" applyFont="1"/>
    <xf numFmtId="0" fontId="3" fillId="2" borderId="0" xfId="0" applyFont="1" applyFill="1"/>
    <xf numFmtId="41" fontId="3" fillId="0" borderId="1" xfId="1" applyFont="1" applyBorder="1"/>
    <xf numFmtId="41" fontId="3" fillId="0" borderId="0" xfId="1" applyFont="1" applyAlignment="1">
      <alignment horizontal="center"/>
    </xf>
    <xf numFmtId="0" fontId="3" fillId="0" borderId="0" xfId="1" quotePrefix="1" applyNumberFormat="1" applyFont="1" applyAlignment="1">
      <alignment horizontal="center"/>
    </xf>
    <xf numFmtId="0" fontId="3" fillId="0" borderId="0" xfId="0" applyNumberFormat="1" applyFont="1" applyAlignment="1">
      <alignment horizontal="center"/>
    </xf>
    <xf numFmtId="41" fontId="3" fillId="0" borderId="1" xfId="1" applyFont="1" applyBorder="1" applyAlignment="1">
      <alignment horizontal="center"/>
    </xf>
    <xf numFmtId="41" fontId="3" fillId="0" borderId="2" xfId="1" applyFont="1" applyBorder="1" applyAlignment="1">
      <alignment horizontal="center"/>
    </xf>
    <xf numFmtId="42" fontId="3" fillId="0" borderId="0" xfId="1" applyNumberFormat="1" applyFont="1" applyProtection="1"/>
    <xf numFmtId="41" fontId="3" fillId="0" borderId="0" xfId="1" applyFont="1" applyProtection="1"/>
    <xf numFmtId="37" fontId="3" fillId="2" borderId="0" xfId="0" applyNumberFormat="1" applyFont="1" applyFill="1" applyProtection="1"/>
    <xf numFmtId="41" fontId="3" fillId="0" borderId="1" xfId="1" applyFont="1" applyBorder="1" applyProtection="1"/>
    <xf numFmtId="37" fontId="4" fillId="0" borderId="0" xfId="0" applyNumberFormat="1" applyFont="1" applyProtection="1"/>
    <xf numFmtId="37" fontId="4" fillId="2" borderId="0" xfId="0" applyNumberFormat="1" applyFont="1" applyFill="1" applyProtection="1"/>
    <xf numFmtId="41" fontId="3" fillId="0" borderId="0" xfId="1" applyFont="1" applyBorder="1" applyProtection="1"/>
    <xf numFmtId="0" fontId="3" fillId="0" borderId="0" xfId="0" applyFont="1" applyBorder="1"/>
    <xf numFmtId="41" fontId="3" fillId="0" borderId="0" xfId="1" applyFont="1" applyBorder="1"/>
    <xf numFmtId="0" fontId="4" fillId="0" borderId="0" xfId="0" applyFont="1" applyBorder="1"/>
    <xf numFmtId="41" fontId="3" fillId="0" borderId="0" xfId="1" applyFont="1" applyBorder="1" applyAlignment="1">
      <alignment horizontal="center"/>
    </xf>
    <xf numFmtId="0" fontId="8" fillId="0" borderId="0" xfId="0" applyFont="1" applyBorder="1"/>
    <xf numFmtId="0" fontId="5" fillId="0" borderId="0" xfId="0" applyFont="1" applyBorder="1"/>
    <xf numFmtId="9" fontId="3" fillId="0" borderId="0" xfId="0" applyNumberFormat="1" applyFont="1" applyBorder="1" applyProtection="1"/>
    <xf numFmtId="0" fontId="3" fillId="0" borderId="0" xfId="0" applyFont="1" applyAlignment="1">
      <alignment horizontal="left" indent="1"/>
    </xf>
    <xf numFmtId="41" fontId="9" fillId="0" borderId="0" xfId="1" applyFont="1" applyBorder="1" applyProtection="1"/>
    <xf numFmtId="0" fontId="12" fillId="0" borderId="0" xfId="0" applyFont="1" applyAlignment="1">
      <alignment horizontal="centerContinuous"/>
    </xf>
    <xf numFmtId="41" fontId="3" fillId="0" borderId="0" xfId="1" applyFont="1" applyAlignment="1" applyProtection="1">
      <alignment horizontal="centerContinuous"/>
    </xf>
    <xf numFmtId="41" fontId="3" fillId="0" borderId="1" xfId="1" applyFont="1" applyBorder="1" applyAlignment="1" applyProtection="1">
      <alignment horizontal="center"/>
    </xf>
    <xf numFmtId="41" fontId="3" fillId="0" borderId="0" xfId="0" applyNumberFormat="1" applyFont="1"/>
    <xf numFmtId="37" fontId="3" fillId="0" borderId="0" xfId="0" applyNumberFormat="1" applyFont="1" applyAlignment="1" applyProtection="1">
      <alignment horizontal="centerContinuous"/>
    </xf>
    <xf numFmtId="37" fontId="3" fillId="0" borderId="1" xfId="0" applyNumberFormat="1" applyFont="1" applyBorder="1" applyAlignment="1" applyProtection="1">
      <alignment horizontal="center"/>
    </xf>
    <xf numFmtId="41" fontId="3" fillId="0" borderId="0" xfId="0" applyNumberFormat="1" applyFont="1" applyProtection="1"/>
    <xf numFmtId="41" fontId="9" fillId="0" borderId="0" xfId="0" applyNumberFormat="1" applyFont="1" applyProtection="1"/>
    <xf numFmtId="41" fontId="5" fillId="0" borderId="0" xfId="0" applyNumberFormat="1" applyFont="1" applyProtection="1"/>
    <xf numFmtId="41" fontId="11" fillId="0" borderId="0" xfId="0" applyNumberFormat="1" applyFont="1"/>
    <xf numFmtId="41" fontId="13" fillId="0" borderId="0" xfId="0" applyNumberFormat="1" applyFont="1"/>
    <xf numFmtId="41" fontId="9" fillId="0" borderId="0" xfId="0" applyNumberFormat="1" applyFont="1" applyBorder="1" applyProtection="1"/>
    <xf numFmtId="41" fontId="10" fillId="0" borderId="0" xfId="0" applyNumberFormat="1" applyFont="1" applyBorder="1"/>
    <xf numFmtId="41" fontId="10" fillId="0" borderId="0" xfId="0" applyNumberFormat="1" applyFont="1" applyBorder="1" applyProtection="1"/>
    <xf numFmtId="41" fontId="10" fillId="0" borderId="0" xfId="0" applyNumberFormat="1" applyFont="1" applyProtection="1"/>
    <xf numFmtId="41" fontId="3" fillId="0" borderId="0" xfId="0" applyNumberFormat="1" applyFont="1" applyBorder="1" applyProtection="1"/>
    <xf numFmtId="0" fontId="3" fillId="0" borderId="3" xfId="0" applyFont="1" applyBorder="1"/>
    <xf numFmtId="37" fontId="3" fillId="0" borderId="0" xfId="0" applyNumberFormat="1" applyFont="1" applyBorder="1" applyProtection="1"/>
    <xf numFmtId="10" fontId="3" fillId="0" borderId="0" xfId="1" applyNumberFormat="1" applyFont="1"/>
    <xf numFmtId="10" fontId="3" fillId="3" borderId="0" xfId="0" applyNumberFormat="1" applyFont="1" applyFill="1"/>
    <xf numFmtId="10" fontId="3" fillId="0" borderId="0" xfId="0" applyNumberFormat="1" applyFont="1"/>
    <xf numFmtId="41" fontId="15" fillId="0" borderId="1" xfId="1" applyFont="1" applyBorder="1"/>
    <xf numFmtId="0" fontId="15" fillId="0" borderId="1" xfId="0" applyFont="1" applyBorder="1"/>
    <xf numFmtId="0" fontId="3" fillId="0" borderId="0" xfId="0" applyFont="1" applyAlignment="1">
      <alignment horizontal="left" indent="4"/>
    </xf>
    <xf numFmtId="42" fontId="14" fillId="0" borderId="0" xfId="0" applyNumberFormat="1" applyFont="1" applyBorder="1" applyProtection="1"/>
    <xf numFmtId="42" fontId="3" fillId="0" borderId="0" xfId="0" applyNumberFormat="1" applyFont="1" applyProtection="1"/>
    <xf numFmtId="41" fontId="3" fillId="0" borderId="0" xfId="1" applyFont="1" applyFill="1" applyProtection="1"/>
    <xf numFmtId="41" fontId="3" fillId="0" borderId="0" xfId="1" applyFont="1" applyFill="1" applyBorder="1" applyProtection="1"/>
    <xf numFmtId="41" fontId="9" fillId="0" borderId="0" xfId="1" applyNumberFormat="1" applyFont="1" applyFill="1" applyBorder="1" applyProtection="1"/>
    <xf numFmtId="41" fontId="9" fillId="0" borderId="0" xfId="1" applyFont="1" applyFill="1" applyBorder="1" applyProtection="1"/>
    <xf numFmtId="0" fontId="3" fillId="0" borderId="0" xfId="1" quotePrefix="1" applyNumberFormat="1" applyFont="1" applyAlignment="1" applyProtection="1">
      <alignment horizontal="center"/>
    </xf>
    <xf numFmtId="0" fontId="3" fillId="0" borderId="0" xfId="0" applyNumberFormat="1" applyFont="1"/>
    <xf numFmtId="0" fontId="3" fillId="0" borderId="0" xfId="0" quotePrefix="1" applyNumberFormat="1" applyFont="1" applyAlignment="1" applyProtection="1">
      <alignment horizontal="center"/>
    </xf>
    <xf numFmtId="0" fontId="3" fillId="0" borderId="0" xfId="0" applyNumberFormat="1" applyFont="1" applyAlignment="1"/>
    <xf numFmtId="41" fontId="9" fillId="0" borderId="0" xfId="1" applyFont="1" applyProtection="1"/>
    <xf numFmtId="0" fontId="20" fillId="0" borderId="0" xfId="0" applyFont="1"/>
    <xf numFmtId="0" fontId="3" fillId="0" borderId="0" xfId="0" applyFont="1" applyFill="1"/>
    <xf numFmtId="41" fontId="3" fillId="0" borderId="0" xfId="1" applyFont="1" applyFill="1"/>
    <xf numFmtId="0" fontId="3" fillId="0" borderId="3" xfId="0" applyFont="1" applyFill="1" applyBorder="1"/>
    <xf numFmtId="41" fontId="3" fillId="0" borderId="0" xfId="1" applyFont="1" applyFill="1" applyAlignment="1">
      <alignment horizontal="center"/>
    </xf>
    <xf numFmtId="0" fontId="3" fillId="0" borderId="0" xfId="1" quotePrefix="1" applyNumberFormat="1" applyFont="1" applyFill="1" applyAlignment="1">
      <alignment horizontal="center"/>
    </xf>
    <xf numFmtId="0" fontId="3" fillId="0" borderId="0" xfId="0" applyNumberFormat="1" applyFont="1" applyFill="1"/>
    <xf numFmtId="41" fontId="9" fillId="0" borderId="0" xfId="1" applyFont="1" applyFill="1" applyBorder="1" applyAlignment="1">
      <alignment horizontal="center"/>
    </xf>
    <xf numFmtId="0" fontId="3" fillId="0" borderId="4" xfId="0" applyFont="1" applyFill="1" applyBorder="1"/>
    <xf numFmtId="0" fontId="3" fillId="0" borderId="0" xfId="0" applyFont="1" applyFill="1" applyBorder="1"/>
    <xf numFmtId="42" fontId="3" fillId="0" borderId="0" xfId="1" applyNumberFormat="1" applyFont="1" applyFill="1" applyProtection="1"/>
    <xf numFmtId="5" fontId="3" fillId="0" borderId="0" xfId="0" applyNumberFormat="1" applyFont="1" applyFill="1" applyProtection="1"/>
    <xf numFmtId="5" fontId="3" fillId="0" borderId="3" xfId="0" applyNumberFormat="1" applyFont="1" applyFill="1" applyBorder="1" applyProtection="1"/>
    <xf numFmtId="37" fontId="3" fillId="0" borderId="0" xfId="0" applyNumberFormat="1" applyFont="1" applyFill="1" applyProtection="1"/>
    <xf numFmtId="37" fontId="3" fillId="0" borderId="3" xfId="0" applyNumberFormat="1" applyFont="1" applyFill="1" applyBorder="1" applyProtection="1"/>
    <xf numFmtId="0" fontId="4" fillId="0" borderId="0" xfId="0" applyFont="1" applyFill="1" applyBorder="1" applyAlignment="1">
      <alignment horizontal="center"/>
    </xf>
    <xf numFmtId="37" fontId="3" fillId="0" borderId="0" xfId="0" applyNumberFormat="1" applyFont="1" applyFill="1" applyBorder="1" applyProtection="1"/>
    <xf numFmtId="41" fontId="3" fillId="0" borderId="0" xfId="1" applyFont="1" applyFill="1" applyBorder="1"/>
    <xf numFmtId="41" fontId="3" fillId="0" borderId="0" xfId="0" applyNumberFormat="1" applyFont="1" applyFill="1"/>
    <xf numFmtId="41" fontId="3" fillId="0" borderId="3" xfId="0" applyNumberFormat="1" applyFont="1" applyFill="1" applyBorder="1" applyProtection="1"/>
    <xf numFmtId="41" fontId="3" fillId="0" borderId="0" xfId="0" applyNumberFormat="1" applyFont="1" applyFill="1" applyProtection="1"/>
    <xf numFmtId="0" fontId="15" fillId="0" borderId="5" xfId="0" applyFont="1" applyFill="1" applyBorder="1" applyAlignment="1">
      <alignment horizontal="center"/>
    </xf>
    <xf numFmtId="41" fontId="3" fillId="0" borderId="6" xfId="1" applyFont="1" applyFill="1" applyBorder="1"/>
    <xf numFmtId="0" fontId="3" fillId="0" borderId="6" xfId="0" applyFont="1" applyFill="1" applyBorder="1"/>
    <xf numFmtId="0" fontId="16" fillId="0" borderId="0" xfId="0" applyFont="1" applyFill="1" applyAlignment="1">
      <alignment horizontal="center"/>
    </xf>
    <xf numFmtId="41" fontId="17" fillId="0" borderId="0" xfId="1" applyFont="1" applyFill="1"/>
    <xf numFmtId="0" fontId="9" fillId="0" borderId="0" xfId="0" applyFont="1" applyFill="1"/>
    <xf numFmtId="10" fontId="3" fillId="0" borderId="0" xfId="1" applyNumberFormat="1" applyFont="1" applyFill="1"/>
    <xf numFmtId="10" fontId="3" fillId="0" borderId="0" xfId="0" applyNumberFormat="1" applyFont="1" applyFill="1"/>
    <xf numFmtId="41" fontId="5" fillId="0" borderId="0" xfId="0" applyNumberFormat="1" applyFont="1" applyFill="1"/>
    <xf numFmtId="10" fontId="5" fillId="0" borderId="0" xfId="1" applyNumberFormat="1" applyFont="1" applyFill="1"/>
    <xf numFmtId="10" fontId="5" fillId="0" borderId="0" xfId="0" applyNumberFormat="1" applyFont="1" applyFill="1"/>
    <xf numFmtId="41" fontId="18" fillId="0" borderId="0" xfId="0" applyNumberFormat="1" applyFont="1" applyFill="1"/>
    <xf numFmtId="10" fontId="8" fillId="0" borderId="0" xfId="1" applyNumberFormat="1" applyFont="1" applyFill="1"/>
    <xf numFmtId="10" fontId="8" fillId="0" borderId="0" xfId="0" applyNumberFormat="1" applyFont="1" applyFill="1"/>
    <xf numFmtId="41" fontId="9" fillId="0" borderId="0" xfId="1" applyFont="1" applyFill="1" applyProtection="1"/>
    <xf numFmtId="0" fontId="3" fillId="0" borderId="0" xfId="0" applyFont="1" applyFill="1" applyAlignment="1">
      <alignment horizontal="centerContinuous"/>
    </xf>
    <xf numFmtId="41" fontId="3" fillId="0" borderId="0" xfId="1" applyFont="1" applyFill="1" applyAlignment="1">
      <alignment horizontal="centerContinuous"/>
    </xf>
    <xf numFmtId="41" fontId="3" fillId="0" borderId="1" xfId="1" applyFont="1" applyFill="1" applyBorder="1" applyProtection="1"/>
    <xf numFmtId="41" fontId="3" fillId="0" borderId="1" xfId="1" applyFont="1" applyFill="1" applyBorder="1"/>
    <xf numFmtId="41" fontId="3" fillId="0" borderId="1" xfId="1" applyFont="1" applyFill="1" applyBorder="1" applyAlignment="1" applyProtection="1">
      <alignment horizontal="center"/>
    </xf>
    <xf numFmtId="0" fontId="3" fillId="0" borderId="0" xfId="1" quotePrefix="1" applyNumberFormat="1" applyFont="1" applyFill="1" applyAlignment="1" applyProtection="1">
      <alignment horizontal="center"/>
    </xf>
    <xf numFmtId="0" fontId="3" fillId="0" borderId="0" xfId="1" applyNumberFormat="1" applyFont="1" applyFill="1"/>
    <xf numFmtId="0" fontId="4" fillId="0" borderId="0" xfId="0" applyFont="1" applyFill="1"/>
    <xf numFmtId="41" fontId="9" fillId="0" borderId="0" xfId="1" applyFont="1" applyFill="1" applyBorder="1"/>
    <xf numFmtId="0" fontId="3" fillId="0" borderId="0" xfId="0" applyFont="1" applyFill="1" applyBorder="1" applyAlignment="1">
      <alignment horizontal="centerContinuous"/>
    </xf>
    <xf numFmtId="41" fontId="3" fillId="0" borderId="1" xfId="1" applyFont="1" applyFill="1" applyBorder="1" applyAlignment="1">
      <alignment horizontal="center"/>
    </xf>
    <xf numFmtId="41" fontId="3" fillId="0" borderId="2" xfId="1" applyFont="1" applyFill="1" applyBorder="1" applyProtection="1"/>
    <xf numFmtId="0" fontId="15" fillId="0" borderId="0" xfId="0" applyFont="1" applyFill="1" applyAlignment="1">
      <alignment horizontal="center"/>
    </xf>
    <xf numFmtId="0" fontId="3" fillId="0" borderId="0" xfId="0" applyFont="1" applyFill="1" applyAlignment="1">
      <alignment horizontal="left" indent="1"/>
    </xf>
    <xf numFmtId="0" fontId="3" fillId="0" borderId="0" xfId="0" applyFont="1" applyFill="1" applyAlignment="1">
      <alignment horizontal="center"/>
    </xf>
    <xf numFmtId="0" fontId="3" fillId="0" borderId="0" xfId="0" applyFont="1" applyFill="1" applyAlignment="1">
      <alignment horizontal="fill"/>
    </xf>
    <xf numFmtId="7" fontId="3" fillId="0" borderId="0" xfId="0" applyNumberFormat="1" applyFont="1" applyFill="1" applyProtection="1"/>
    <xf numFmtId="39" fontId="3" fillId="0" borderId="0" xfId="0" applyNumberFormat="1" applyFont="1" applyFill="1" applyProtection="1"/>
    <xf numFmtId="164" fontId="3" fillId="0" borderId="0" xfId="0" applyNumberFormat="1" applyFont="1" applyFill="1" applyProtection="1"/>
    <xf numFmtId="0" fontId="3" fillId="0" borderId="0" xfId="0" applyFont="1" applyFill="1" applyAlignment="1">
      <alignment horizontal="right"/>
    </xf>
    <xf numFmtId="39" fontId="3" fillId="0" borderId="0" xfId="0" applyNumberFormat="1" applyFont="1" applyFill="1" applyAlignment="1" applyProtection="1">
      <alignment horizontal="right"/>
    </xf>
    <xf numFmtId="39" fontId="3" fillId="0" borderId="0" xfId="0" applyNumberFormat="1" applyFont="1" applyFill="1" applyAlignment="1" applyProtection="1">
      <alignment horizontal="fill"/>
    </xf>
    <xf numFmtId="41" fontId="21" fillId="0" borderId="0" xfId="1" applyFont="1" applyBorder="1" applyProtection="1"/>
    <xf numFmtId="41" fontId="4" fillId="0" borderId="0" xfId="1" applyFont="1" applyProtection="1"/>
    <xf numFmtId="42" fontId="18" fillId="0" borderId="0" xfId="1" applyNumberFormat="1" applyFont="1" applyFill="1" applyBorder="1" applyProtection="1"/>
    <xf numFmtId="42" fontId="18" fillId="0" borderId="0" xfId="1" applyNumberFormat="1" applyFont="1" applyBorder="1" applyProtection="1"/>
    <xf numFmtId="41" fontId="5" fillId="0" borderId="0" xfId="1" applyFont="1" applyFill="1"/>
    <xf numFmtId="41" fontId="5" fillId="0" borderId="0" xfId="1" applyFont="1" applyFill="1" applyProtection="1"/>
    <xf numFmtId="0" fontId="9" fillId="0" borderId="0" xfId="0" applyFont="1"/>
    <xf numFmtId="0" fontId="3" fillId="0" borderId="3" xfId="0" applyNumberFormat="1" applyFont="1" applyFill="1" applyBorder="1"/>
    <xf numFmtId="41" fontId="3" fillId="0" borderId="0" xfId="1" applyNumberFormat="1" applyFont="1" applyFill="1"/>
    <xf numFmtId="0" fontId="20" fillId="0" borderId="0" xfId="0" applyFont="1" applyAlignment="1">
      <alignment horizontal="right"/>
    </xf>
    <xf numFmtId="0" fontId="20" fillId="0" borderId="0" xfId="0" applyFont="1" applyAlignment="1">
      <alignment horizontal="centerContinuous"/>
    </xf>
    <xf numFmtId="0" fontId="20" fillId="0" borderId="0" xfId="0" applyFont="1" applyAlignment="1">
      <alignment horizontal="center"/>
    </xf>
    <xf numFmtId="0" fontId="20" fillId="0" borderId="1" xfId="0" applyFont="1" applyBorder="1" applyAlignment="1">
      <alignment horizontal="center"/>
    </xf>
    <xf numFmtId="14" fontId="20" fillId="0" borderId="1" xfId="0" applyNumberFormat="1" applyFont="1" applyBorder="1" applyAlignment="1">
      <alignment horizontal="center"/>
    </xf>
    <xf numFmtId="14" fontId="20" fillId="0" borderId="0" xfId="0" applyNumberFormat="1" applyFont="1" applyBorder="1" applyAlignment="1">
      <alignment horizontal="center"/>
    </xf>
    <xf numFmtId="0" fontId="20" fillId="0" borderId="1" xfId="0" applyFont="1" applyBorder="1"/>
    <xf numFmtId="37" fontId="20" fillId="0" borderId="0" xfId="0" applyNumberFormat="1" applyFont="1" applyProtection="1"/>
    <xf numFmtId="0" fontId="22" fillId="0" borderId="0" xfId="0" applyFont="1"/>
    <xf numFmtId="0" fontId="20" fillId="0" borderId="0" xfId="0" applyFont="1" applyAlignment="1">
      <alignment horizontal="left" indent="1"/>
    </xf>
    <xf numFmtId="42" fontId="20" fillId="0" borderId="0" xfId="0" applyNumberFormat="1" applyFont="1" applyProtection="1"/>
    <xf numFmtId="14" fontId="20" fillId="0" borderId="0" xfId="0" applyNumberFormat="1" applyFont="1"/>
    <xf numFmtId="41" fontId="20" fillId="0" borderId="0" xfId="1" applyFont="1"/>
    <xf numFmtId="14" fontId="22" fillId="0" borderId="0" xfId="0" applyNumberFormat="1" applyFont="1"/>
    <xf numFmtId="0" fontId="3" fillId="0" borderId="0" xfId="1" applyNumberFormat="1" applyFont="1" applyFill="1" applyAlignment="1">
      <alignment horizontal="center"/>
    </xf>
    <xf numFmtId="41" fontId="9" fillId="0" borderId="0" xfId="1" applyFont="1" applyFill="1"/>
    <xf numFmtId="41" fontId="9" fillId="0" borderId="7" xfId="1" applyFont="1" applyFill="1" applyBorder="1" applyAlignment="1">
      <alignment horizontal="center"/>
    </xf>
    <xf numFmtId="0" fontId="3" fillId="0" borderId="0" xfId="0" applyFont="1" applyFill="1" applyAlignment="1"/>
    <xf numFmtId="16" fontId="3" fillId="0" borderId="0" xfId="0" quotePrefix="1" applyNumberFormat="1" applyFont="1" applyAlignment="1">
      <alignment horizontal="center"/>
    </xf>
    <xf numFmtId="0" fontId="4" fillId="0" borderId="0" xfId="0" applyFont="1" applyAlignment="1">
      <alignment horizontal="center"/>
    </xf>
    <xf numFmtId="41" fontId="3" fillId="0" borderId="0" xfId="1" applyFont="1" applyAlignment="1" applyProtection="1">
      <alignment horizontal="center"/>
    </xf>
    <xf numFmtId="43" fontId="3" fillId="0" borderId="0" xfId="0" applyNumberFormat="1" applyFont="1"/>
    <xf numFmtId="169" fontId="3" fillId="0" borderId="0" xfId="0" applyNumberFormat="1" applyFont="1"/>
    <xf numFmtId="37" fontId="9" fillId="0" borderId="0" xfId="0" applyNumberFormat="1" applyFont="1" applyProtection="1"/>
    <xf numFmtId="167" fontId="9" fillId="0" borderId="0" xfId="1" applyNumberFormat="1" applyFont="1" applyFill="1" applyBorder="1" applyProtection="1"/>
    <xf numFmtId="167" fontId="3" fillId="0" borderId="0" xfId="1" applyNumberFormat="1" applyFont="1" applyFill="1"/>
    <xf numFmtId="167" fontId="3" fillId="0" borderId="0" xfId="1" applyNumberFormat="1" applyFont="1" applyFill="1" applyProtection="1"/>
    <xf numFmtId="170" fontId="3" fillId="0" borderId="0" xfId="0" applyNumberFormat="1" applyFont="1" applyProtection="1"/>
    <xf numFmtId="14" fontId="20" fillId="0" borderId="0" xfId="0" applyNumberFormat="1" applyFont="1" applyBorder="1"/>
    <xf numFmtId="44" fontId="3" fillId="0" borderId="0" xfId="0" applyNumberFormat="1" applyFont="1"/>
    <xf numFmtId="42" fontId="3" fillId="0" borderId="0" xfId="0" applyNumberFormat="1" applyFont="1"/>
    <xf numFmtId="5" fontId="3" fillId="0" borderId="0" xfId="0" applyNumberFormat="1" applyFont="1" applyFill="1" applyBorder="1" applyProtection="1"/>
    <xf numFmtId="0" fontId="4" fillId="0" borderId="0" xfId="0" applyFont="1" applyBorder="1" applyAlignment="1">
      <alignment horizontal="centerContinuous"/>
    </xf>
    <xf numFmtId="0" fontId="3" fillId="0" borderId="0" xfId="0" applyFont="1" applyBorder="1" applyAlignment="1">
      <alignment horizontal="centerContinuous"/>
    </xf>
    <xf numFmtId="167" fontId="9" fillId="0" borderId="0" xfId="1" applyNumberFormat="1" applyFont="1" applyFill="1" applyProtection="1"/>
    <xf numFmtId="0" fontId="3" fillId="4" borderId="0" xfId="0" applyFont="1" applyFill="1"/>
    <xf numFmtId="166" fontId="3" fillId="0" borderId="0" xfId="1" applyNumberFormat="1" applyFont="1" applyFill="1" applyProtection="1"/>
    <xf numFmtId="167" fontId="3" fillId="0" borderId="0" xfId="0" applyNumberFormat="1" applyFont="1" applyFill="1" applyProtection="1"/>
    <xf numFmtId="167" fontId="3" fillId="0" borderId="0" xfId="0" applyNumberFormat="1" applyFont="1" applyFill="1"/>
    <xf numFmtId="167" fontId="3" fillId="0" borderId="0" xfId="1" applyNumberFormat="1" applyFont="1" applyProtection="1"/>
    <xf numFmtId="167" fontId="3" fillId="0" borderId="0" xfId="0" applyNumberFormat="1" applyFont="1"/>
    <xf numFmtId="41" fontId="3" fillId="4" borderId="0" xfId="1" applyFont="1" applyFill="1" applyProtection="1"/>
    <xf numFmtId="0" fontId="3" fillId="0" borderId="0" xfId="0" applyFont="1" applyAlignment="1">
      <alignment horizontal="left" indent="2"/>
    </xf>
    <xf numFmtId="41" fontId="9" fillId="0" borderId="0" xfId="1" applyFont="1"/>
    <xf numFmtId="167" fontId="3" fillId="0" borderId="0" xfId="0" applyNumberFormat="1" applyFont="1" applyProtection="1"/>
    <xf numFmtId="167" fontId="9" fillId="0" borderId="0" xfId="1" applyNumberFormat="1" applyFont="1" applyBorder="1"/>
    <xf numFmtId="167" fontId="9" fillId="0" borderId="0" xfId="1" applyNumberFormat="1" applyFont="1" applyBorder="1" applyProtection="1"/>
    <xf numFmtId="167" fontId="9" fillId="0" borderId="0" xfId="1" applyNumberFormat="1" applyFont="1" applyProtection="1"/>
    <xf numFmtId="166" fontId="18" fillId="0" borderId="0" xfId="1" applyNumberFormat="1" applyFont="1" applyBorder="1" applyProtection="1"/>
    <xf numFmtId="167" fontId="4" fillId="0" borderId="0" xfId="1" applyNumberFormat="1" applyFont="1" applyProtection="1"/>
    <xf numFmtId="167" fontId="21" fillId="0" borderId="0" xfId="1" applyNumberFormat="1" applyFont="1" applyBorder="1" applyProtection="1"/>
    <xf numFmtId="166" fontId="3" fillId="0" borderId="0" xfId="0" applyNumberFormat="1" applyFont="1" applyProtection="1"/>
    <xf numFmtId="166" fontId="3" fillId="0" borderId="0" xfId="2" applyNumberFormat="1" applyFont="1" applyProtection="1"/>
    <xf numFmtId="167" fontId="9" fillId="0" borderId="0" xfId="0" applyNumberFormat="1" applyFont="1" applyProtection="1"/>
    <xf numFmtId="167" fontId="5" fillId="0" borderId="0" xfId="0" applyNumberFormat="1" applyFont="1" applyProtection="1"/>
    <xf numFmtId="167" fontId="11" fillId="0" borderId="0" xfId="0" applyNumberFormat="1" applyFont="1"/>
    <xf numFmtId="167" fontId="13" fillId="0" borderId="0" xfId="0" applyNumberFormat="1" applyFont="1"/>
    <xf numFmtId="167" fontId="10" fillId="0" borderId="0" xfId="0" applyNumberFormat="1" applyFont="1" applyProtection="1"/>
    <xf numFmtId="167" fontId="14" fillId="0" borderId="0" xfId="0" applyNumberFormat="1" applyFont="1" applyBorder="1" applyProtection="1"/>
    <xf numFmtId="167" fontId="10" fillId="0" borderId="0" xfId="0" applyNumberFormat="1" applyFont="1" applyBorder="1" applyProtection="1"/>
    <xf numFmtId="167" fontId="3" fillId="0" borderId="0" xfId="1" applyNumberFormat="1" applyFont="1" applyFill="1" applyBorder="1" applyProtection="1"/>
    <xf numFmtId="167" fontId="3" fillId="0" borderId="0" xfId="0" applyNumberFormat="1" applyFont="1" applyFill="1" applyBorder="1"/>
    <xf numFmtId="167" fontId="3" fillId="0" borderId="0" xfId="1" applyNumberFormat="1" applyFont="1" applyFill="1" applyBorder="1"/>
    <xf numFmtId="166" fontId="3" fillId="0" borderId="0" xfId="0" applyNumberFormat="1" applyFont="1" applyFill="1" applyProtection="1"/>
    <xf numFmtId="166" fontId="3" fillId="0" borderId="0" xfId="0" applyNumberFormat="1" applyFont="1" applyFill="1"/>
    <xf numFmtId="10" fontId="3" fillId="0" borderId="0" xfId="0" applyNumberFormat="1" applyFont="1" applyBorder="1" applyProtection="1"/>
    <xf numFmtId="171" fontId="3" fillId="0" borderId="0" xfId="1" applyNumberFormat="1" applyFont="1" applyProtection="1"/>
    <xf numFmtId="0" fontId="3" fillId="0" borderId="2" xfId="0" applyFont="1" applyBorder="1" applyAlignment="1">
      <alignment horizontal="center"/>
    </xf>
    <xf numFmtId="10" fontId="3" fillId="0" borderId="0" xfId="4" applyNumberFormat="1" applyFont="1"/>
    <xf numFmtId="10" fontId="3" fillId="0" borderId="0" xfId="4" applyNumberFormat="1" applyFont="1" applyFill="1"/>
    <xf numFmtId="10" fontId="3" fillId="0" borderId="0" xfId="4" applyNumberFormat="1" applyFont="1" applyBorder="1"/>
    <xf numFmtId="41" fontId="20" fillId="0" borderId="0" xfId="1" applyFont="1" applyFill="1" applyAlignment="1">
      <alignment horizontal="centerContinuous"/>
    </xf>
    <xf numFmtId="41" fontId="20" fillId="0" borderId="0" xfId="1" applyFont="1" applyFill="1"/>
    <xf numFmtId="0" fontId="20" fillId="0" borderId="0" xfId="0" applyFont="1" applyFill="1"/>
    <xf numFmtId="41" fontId="20" fillId="0" borderId="1" xfId="1" applyFont="1" applyFill="1" applyBorder="1" applyProtection="1"/>
    <xf numFmtId="41" fontId="20" fillId="0" borderId="1" xfId="1" applyFont="1" applyFill="1" applyBorder="1"/>
    <xf numFmtId="41" fontId="20" fillId="0" borderId="1" xfId="1" applyFont="1" applyFill="1" applyBorder="1" applyAlignment="1" applyProtection="1">
      <alignment horizontal="center"/>
    </xf>
    <xf numFmtId="0" fontId="20" fillId="0" borderId="0" xfId="1" applyNumberFormat="1" applyFont="1" applyFill="1" applyAlignment="1">
      <alignment horizontal="center"/>
    </xf>
    <xf numFmtId="0" fontId="20" fillId="0" borderId="0" xfId="0" applyNumberFormat="1" applyFont="1"/>
    <xf numFmtId="0" fontId="20" fillId="0" borderId="0" xfId="1" applyNumberFormat="1" applyFont="1" applyFill="1"/>
    <xf numFmtId="0" fontId="20" fillId="0" borderId="0" xfId="1" quotePrefix="1" applyNumberFormat="1" applyFont="1" applyFill="1" applyAlignment="1" applyProtection="1">
      <alignment horizontal="center"/>
    </xf>
    <xf numFmtId="0" fontId="22" fillId="0" borderId="0" xfId="0" applyFont="1" applyFill="1"/>
    <xf numFmtId="41" fontId="20" fillId="0" borderId="0" xfId="1" applyFont="1" applyFill="1" applyProtection="1"/>
    <xf numFmtId="5" fontId="20" fillId="0" borderId="0" xfId="0" applyNumberFormat="1" applyFont="1" applyFill="1" applyProtection="1"/>
    <xf numFmtId="42" fontId="20" fillId="0" borderId="0" xfId="1" applyNumberFormat="1" applyFont="1" applyFill="1" applyProtection="1"/>
    <xf numFmtId="167" fontId="20" fillId="0" borderId="0" xfId="1" applyNumberFormat="1" applyFont="1" applyFill="1" applyProtection="1"/>
    <xf numFmtId="167" fontId="23" fillId="0" borderId="0" xfId="1" applyNumberFormat="1" applyFont="1" applyFill="1" applyBorder="1" applyProtection="1"/>
    <xf numFmtId="41" fontId="23" fillId="0" borderId="0" xfId="1" applyFont="1" applyFill="1" applyBorder="1" applyProtection="1"/>
    <xf numFmtId="41" fontId="20" fillId="0" borderId="0" xfId="1" applyNumberFormat="1" applyFont="1" applyFill="1" applyProtection="1"/>
    <xf numFmtId="41" fontId="23" fillId="0" borderId="0" xfId="1" applyFont="1" applyFill="1" applyBorder="1"/>
    <xf numFmtId="41" fontId="24" fillId="0" borderId="0" xfId="1" applyFont="1" applyFill="1"/>
    <xf numFmtId="41" fontId="24" fillId="0" borderId="0" xfId="1" applyFont="1" applyFill="1" applyProtection="1"/>
    <xf numFmtId="42" fontId="25" fillId="0" borderId="0" xfId="1" applyNumberFormat="1" applyFont="1" applyFill="1" applyBorder="1" applyProtection="1"/>
    <xf numFmtId="41" fontId="20" fillId="0" borderId="0" xfId="1" applyFont="1" applyFill="1" applyAlignment="1">
      <alignment horizontal="center"/>
    </xf>
    <xf numFmtId="41" fontId="20" fillId="0" borderId="2" xfId="1" applyFont="1" applyFill="1" applyBorder="1" applyAlignment="1">
      <alignment horizontal="center"/>
    </xf>
    <xf numFmtId="10" fontId="20" fillId="0" borderId="0" xfId="4" applyNumberFormat="1" applyFont="1" applyFill="1"/>
    <xf numFmtId="41" fontId="23" fillId="0" borderId="0" xfId="1" applyFont="1" applyFill="1"/>
    <xf numFmtId="41" fontId="3" fillId="0" borderId="2" xfId="1" applyFont="1" applyBorder="1" applyAlignment="1" applyProtection="1">
      <alignment horizontal="center"/>
    </xf>
    <xf numFmtId="0" fontId="3" fillId="0" borderId="0" xfId="0" applyNumberFormat="1" applyFont="1" applyFill="1" applyBorder="1" applyAlignment="1">
      <alignment horizontal="center"/>
    </xf>
    <xf numFmtId="0" fontId="5" fillId="0" borderId="0" xfId="0" applyFont="1" applyFill="1" applyBorder="1" applyAlignment="1">
      <alignment horizontal="center"/>
    </xf>
    <xf numFmtId="10" fontId="3" fillId="0" borderId="0" xfId="4" applyNumberFormat="1" applyFont="1" applyProtection="1"/>
    <xf numFmtId="41" fontId="9" fillId="0" borderId="0" xfId="1" applyNumberFormat="1" applyFont="1" applyBorder="1" applyProtection="1"/>
    <xf numFmtId="37" fontId="9" fillId="2" borderId="0" xfId="0" applyNumberFormat="1" applyFont="1" applyFill="1" applyProtection="1"/>
    <xf numFmtId="167" fontId="9" fillId="0" borderId="0" xfId="1" applyNumberFormat="1" applyFont="1" applyFill="1"/>
    <xf numFmtId="168" fontId="3" fillId="0" borderId="0" xfId="1" applyNumberFormat="1" applyFont="1" applyFill="1"/>
    <xf numFmtId="168" fontId="9" fillId="0" borderId="0" xfId="1" applyNumberFormat="1" applyFont="1" applyFill="1" applyBorder="1" applyProtection="1"/>
    <xf numFmtId="168" fontId="3" fillId="0" borderId="0" xfId="1" applyNumberFormat="1" applyFont="1" applyFill="1" applyProtection="1"/>
    <xf numFmtId="9" fontId="3" fillId="0" borderId="0" xfId="1" applyNumberFormat="1" applyFont="1" applyFill="1"/>
    <xf numFmtId="172" fontId="20" fillId="0" borderId="0" xfId="1" applyNumberFormat="1" applyFont="1" applyFill="1"/>
    <xf numFmtId="0" fontId="3" fillId="4" borderId="0" xfId="0" applyFont="1" applyFill="1" applyBorder="1"/>
    <xf numFmtId="37" fontId="3" fillId="0" borderId="0" xfId="3" applyFont="1"/>
    <xf numFmtId="37" fontId="3" fillId="0" borderId="0" xfId="3" applyFont="1" applyBorder="1"/>
    <xf numFmtId="37" fontId="3" fillId="0" borderId="0" xfId="3" applyFont="1" applyAlignment="1">
      <alignment horizontal="centerContinuous"/>
    </xf>
    <xf numFmtId="37" fontId="3" fillId="0" borderId="0" xfId="3" applyFont="1" applyBorder="1" applyAlignment="1">
      <alignment horizontal="centerContinuous"/>
    </xf>
    <xf numFmtId="37" fontId="26" fillId="0" borderId="0" xfId="3" applyFont="1" applyAlignment="1">
      <alignment horizontal="centerContinuous"/>
    </xf>
    <xf numFmtId="37" fontId="3" fillId="0" borderId="0" xfId="3" quotePrefix="1" applyFont="1"/>
    <xf numFmtId="37" fontId="3" fillId="0" borderId="0" xfId="3" applyFont="1" applyAlignment="1">
      <alignment horizontal="left"/>
    </xf>
    <xf numFmtId="37" fontId="3" fillId="0" borderId="8" xfId="3" applyFont="1" applyBorder="1" applyAlignment="1">
      <alignment horizontal="left"/>
    </xf>
    <xf numFmtId="37" fontId="3" fillId="0" borderId="8" xfId="3" applyFont="1" applyBorder="1"/>
    <xf numFmtId="37" fontId="3" fillId="0" borderId="1" xfId="3" applyFont="1" applyBorder="1"/>
    <xf numFmtId="37" fontId="3" fillId="0" borderId="0" xfId="3" applyFont="1" applyAlignment="1">
      <alignment horizontal="center"/>
    </xf>
    <xf numFmtId="37" fontId="27" fillId="0" borderId="0" xfId="3" applyFont="1" applyProtection="1">
      <protection locked="0"/>
    </xf>
    <xf numFmtId="37" fontId="27" fillId="0" borderId="0" xfId="3" applyFont="1" applyBorder="1" applyProtection="1">
      <protection locked="0"/>
    </xf>
    <xf numFmtId="5" fontId="3" fillId="0" borderId="0" xfId="3" applyNumberFormat="1" applyFont="1" applyProtection="1"/>
    <xf numFmtId="5" fontId="3" fillId="0" borderId="0" xfId="3" applyNumberFormat="1" applyFont="1" applyBorder="1" applyProtection="1"/>
    <xf numFmtId="37" fontId="3" fillId="0" borderId="0" xfId="3" applyNumberFormat="1" applyFont="1" applyProtection="1"/>
    <xf numFmtId="37" fontId="3" fillId="0" borderId="0" xfId="3" applyNumberFormat="1" applyFont="1" applyBorder="1" applyProtection="1"/>
    <xf numFmtId="5" fontId="27" fillId="0" borderId="0" xfId="3" applyNumberFormat="1" applyFont="1" applyProtection="1">
      <protection locked="0"/>
    </xf>
    <xf numFmtId="5" fontId="27" fillId="0" borderId="0" xfId="3" applyNumberFormat="1" applyFont="1" applyBorder="1" applyProtection="1">
      <protection locked="0"/>
    </xf>
    <xf numFmtId="37" fontId="3" fillId="0" borderId="0" xfId="3" applyFont="1" applyAlignment="1">
      <alignment horizontal="left" indent="1"/>
    </xf>
    <xf numFmtId="41" fontId="20" fillId="0" borderId="0" xfId="1" applyNumberFormat="1" applyFont="1" applyFill="1"/>
    <xf numFmtId="41" fontId="4" fillId="0" borderId="0" xfId="0" applyNumberFormat="1" applyFont="1" applyAlignment="1">
      <alignment horizontal="centerContinuous"/>
    </xf>
    <xf numFmtId="42" fontId="4" fillId="0" borderId="0" xfId="0" applyNumberFormat="1" applyFont="1" applyBorder="1" applyAlignment="1">
      <alignment horizontal="centerContinuous"/>
    </xf>
    <xf numFmtId="42" fontId="3" fillId="0" borderId="0" xfId="0" applyNumberFormat="1" applyFont="1" applyBorder="1"/>
    <xf numFmtId="10" fontId="3" fillId="0" borderId="0" xfId="4" applyNumberFormat="1" applyFont="1" applyFill="1" applyProtection="1"/>
    <xf numFmtId="166" fontId="9" fillId="0" borderId="0" xfId="1" applyNumberFormat="1" applyFont="1" applyBorder="1" applyAlignment="1" applyProtection="1">
      <alignment horizontal="center"/>
    </xf>
    <xf numFmtId="166" fontId="9" fillId="0" borderId="0" xfId="1" applyNumberFormat="1" applyFont="1" applyBorder="1"/>
    <xf numFmtId="166" fontId="3" fillId="0" borderId="0" xfId="1" applyNumberFormat="1" applyFont="1" applyProtection="1"/>
    <xf numFmtId="168" fontId="9" fillId="0" borderId="0" xfId="1" applyNumberFormat="1" applyFont="1" applyFill="1" applyProtection="1"/>
    <xf numFmtId="0" fontId="9" fillId="0" borderId="0" xfId="0" applyFont="1" applyBorder="1"/>
    <xf numFmtId="168" fontId="3" fillId="0" borderId="0" xfId="1" applyNumberFormat="1" applyFont="1" applyFill="1" applyBorder="1"/>
    <xf numFmtId="168" fontId="23" fillId="0" borderId="0" xfId="1" applyNumberFormat="1" applyFont="1" applyFill="1" applyBorder="1" applyProtection="1"/>
    <xf numFmtId="168" fontId="20" fillId="0" borderId="0" xfId="1" applyNumberFormat="1" applyFont="1" applyFill="1" applyProtection="1"/>
    <xf numFmtId="168" fontId="3" fillId="0" borderId="0" xfId="1" applyNumberFormat="1" applyFont="1" applyProtection="1"/>
    <xf numFmtId="173" fontId="18" fillId="0" borderId="0" xfId="1" applyNumberFormat="1" applyFont="1" applyFill="1" applyBorder="1" applyProtection="1"/>
    <xf numFmtId="0" fontId="20" fillId="0" borderId="0" xfId="0" applyFont="1" applyFill="1" applyAlignment="1">
      <alignment horizontal="left" indent="2"/>
    </xf>
    <xf numFmtId="0" fontId="3" fillId="0" borderId="0" xfId="0" applyFont="1" applyFill="1" applyAlignment="1">
      <alignment horizontal="left" indent="2"/>
    </xf>
    <xf numFmtId="168" fontId="9" fillId="0" borderId="0" xfId="1" applyNumberFormat="1" applyFont="1" applyFill="1"/>
    <xf numFmtId="168" fontId="3" fillId="0" borderId="0" xfId="1" applyNumberFormat="1" applyFont="1" applyFill="1" applyBorder="1" applyProtection="1"/>
    <xf numFmtId="10" fontId="5" fillId="0" borderId="0" xfId="4" applyNumberFormat="1" applyFont="1"/>
    <xf numFmtId="42" fontId="24" fillId="0" borderId="0" xfId="0" applyNumberFormat="1" applyFont="1" applyBorder="1" applyProtection="1"/>
    <xf numFmtId="41" fontId="23" fillId="0" borderId="0" xfId="1" applyFont="1" applyFill="1" applyProtection="1"/>
    <xf numFmtId="0" fontId="4" fillId="0" borderId="0" xfId="0" applyFont="1" applyFill="1" applyAlignment="1">
      <alignment horizontal="center"/>
    </xf>
    <xf numFmtId="167" fontId="9" fillId="0" borderId="0" xfId="0" applyNumberFormat="1" applyFont="1" applyBorder="1"/>
    <xf numFmtId="9" fontId="3" fillId="0" borderId="0" xfId="0" applyNumberFormat="1" applyFont="1"/>
    <xf numFmtId="41" fontId="18" fillId="0" borderId="0" xfId="1" applyFont="1"/>
    <xf numFmtId="0" fontId="18" fillId="0" borderId="0" xfId="0" applyFont="1"/>
    <xf numFmtId="0" fontId="4" fillId="0" borderId="0" xfId="0" applyFont="1" applyFill="1" applyAlignment="1">
      <alignment horizontal="center"/>
    </xf>
    <xf numFmtId="168" fontId="23" fillId="0" borderId="0" xfId="1" applyNumberFormat="1" applyFont="1" applyFill="1" applyProtection="1"/>
    <xf numFmtId="10" fontId="24" fillId="0" borderId="0" xfId="4" applyNumberFormat="1" applyFont="1" applyFill="1"/>
    <xf numFmtId="167" fontId="3" fillId="0" borderId="0" xfId="1" applyNumberFormat="1" applyFont="1" applyBorder="1" applyProtection="1"/>
    <xf numFmtId="41" fontId="18" fillId="0" borderId="0" xfId="1" applyFont="1" applyFill="1" applyBorder="1" applyProtection="1"/>
    <xf numFmtId="167" fontId="21" fillId="0" borderId="0" xfId="1" applyNumberFormat="1" applyFont="1" applyProtection="1"/>
    <xf numFmtId="10" fontId="20" fillId="0" borderId="0" xfId="1" applyNumberFormat="1" applyFont="1" applyFill="1"/>
    <xf numFmtId="168" fontId="9" fillId="0" borderId="0" xfId="0" applyNumberFormat="1" applyFont="1" applyProtection="1"/>
    <xf numFmtId="41" fontId="28" fillId="0" borderId="0" xfId="1" applyFont="1" applyProtection="1"/>
    <xf numFmtId="0" fontId="4" fillId="0" borderId="0" xfId="0" applyFont="1" applyFill="1" applyAlignment="1">
      <alignment horizontal="center"/>
    </xf>
    <xf numFmtId="0" fontId="20" fillId="0" borderId="0" xfId="0" applyFont="1" applyBorder="1" applyAlignment="1">
      <alignment horizontal="center"/>
    </xf>
    <xf numFmtId="10" fontId="8" fillId="0" borderId="0" xfId="4" applyNumberFormat="1" applyFont="1"/>
    <xf numFmtId="10" fontId="5" fillId="0" borderId="0" xfId="4" applyNumberFormat="1" applyFont="1" applyBorder="1"/>
    <xf numFmtId="10" fontId="5" fillId="0" borderId="0" xfId="4" applyNumberFormat="1" applyFont="1" applyProtection="1"/>
    <xf numFmtId="10" fontId="8" fillId="0" borderId="0" xfId="4" applyNumberFormat="1" applyFont="1" applyProtection="1"/>
    <xf numFmtId="41" fontId="20" fillId="0" borderId="2" xfId="1" applyFont="1" applyFill="1" applyBorder="1"/>
    <xf numFmtId="41" fontId="20" fillId="0" borderId="1" xfId="1" applyFont="1" applyBorder="1"/>
    <xf numFmtId="41" fontId="20" fillId="0" borderId="0" xfId="1" applyFont="1" applyFill="1" applyBorder="1"/>
    <xf numFmtId="0" fontId="20" fillId="0" borderId="0" xfId="1" quotePrefix="1" applyNumberFormat="1" applyFont="1" applyFill="1" applyBorder="1" applyAlignment="1">
      <alignment horizontal="center"/>
    </xf>
    <xf numFmtId="0" fontId="20" fillId="0" borderId="0" xfId="0" applyNumberFormat="1" applyFont="1" applyAlignment="1">
      <alignment horizontal="center"/>
    </xf>
    <xf numFmtId="0" fontId="20" fillId="0" borderId="0" xfId="1" quotePrefix="1" applyNumberFormat="1" applyFont="1" applyAlignment="1">
      <alignment horizontal="center"/>
    </xf>
    <xf numFmtId="41" fontId="20" fillId="0" borderId="1" xfId="1" applyFont="1" applyBorder="1" applyAlignment="1">
      <alignment horizontal="center"/>
    </xf>
    <xf numFmtId="42" fontId="20" fillId="0" borderId="0" xfId="1" applyNumberFormat="1" applyFont="1" applyFill="1" applyBorder="1" applyProtection="1"/>
    <xf numFmtId="41" fontId="20" fillId="0" borderId="0" xfId="1" applyFont="1" applyFill="1" applyBorder="1" applyProtection="1"/>
    <xf numFmtId="37" fontId="23" fillId="0" borderId="0" xfId="0" applyNumberFormat="1" applyFont="1" applyProtection="1"/>
    <xf numFmtId="37" fontId="22" fillId="0" borderId="0" xfId="0" applyNumberFormat="1" applyFont="1" applyProtection="1"/>
    <xf numFmtId="41" fontId="22" fillId="0" borderId="0" xfId="1" applyFont="1" applyFill="1" applyBorder="1" applyProtection="1"/>
    <xf numFmtId="41" fontId="23" fillId="0" borderId="0" xfId="1" applyFont="1" applyBorder="1" applyProtection="1"/>
    <xf numFmtId="168" fontId="23" fillId="0" borderId="0" xfId="1" applyNumberFormat="1" applyFont="1" applyFill="1" applyBorder="1" applyAlignment="1" applyProtection="1">
      <alignment horizontal="left"/>
    </xf>
    <xf numFmtId="167" fontId="23" fillId="0" borderId="0" xfId="1" applyNumberFormat="1" applyFont="1" applyBorder="1" applyProtection="1"/>
    <xf numFmtId="42" fontId="25" fillId="0" borderId="0" xfId="1" applyNumberFormat="1" applyFont="1" applyBorder="1" applyProtection="1"/>
    <xf numFmtId="0" fontId="22" fillId="0" borderId="0" xfId="0" applyFont="1" applyAlignment="1">
      <alignment vertical="center"/>
    </xf>
    <xf numFmtId="41" fontId="29" fillId="0" borderId="0" xfId="1" applyFont="1" applyFill="1" applyBorder="1" applyAlignment="1" applyProtection="1">
      <alignment vertical="center"/>
    </xf>
    <xf numFmtId="37" fontId="22" fillId="0" borderId="0" xfId="0" applyNumberFormat="1" applyFont="1" applyAlignment="1" applyProtection="1">
      <alignment vertical="center"/>
    </xf>
    <xf numFmtId="41" fontId="3" fillId="0" borderId="1" xfId="1" applyFont="1" applyBorder="1" applyAlignment="1">
      <alignment horizontal="center"/>
    </xf>
    <xf numFmtId="10" fontId="5" fillId="0" borderId="0" xfId="4" applyNumberFormat="1" applyFont="1" applyFill="1"/>
    <xf numFmtId="10" fontId="8" fillId="0" borderId="0" xfId="4" applyNumberFormat="1" applyFont="1" applyFill="1"/>
    <xf numFmtId="0" fontId="5" fillId="0" borderId="0" xfId="0" applyFont="1"/>
    <xf numFmtId="10" fontId="30" fillId="0" borderId="0" xfId="4" applyNumberFormat="1" applyFont="1" applyFill="1"/>
    <xf numFmtId="0" fontId="3" fillId="0" borderId="0" xfId="0" applyFont="1" applyAlignment="1">
      <alignment horizontal="left" vertical="center"/>
    </xf>
    <xf numFmtId="0" fontId="3" fillId="0" borderId="0" xfId="0" applyFont="1" applyAlignment="1">
      <alignment vertical="center"/>
    </xf>
    <xf numFmtId="168" fontId="3" fillId="0" borderId="0" xfId="1" applyNumberFormat="1" applyFont="1" applyFill="1" applyAlignment="1" applyProtection="1">
      <alignment vertical="center"/>
    </xf>
    <xf numFmtId="0" fontId="9" fillId="0" borderId="0" xfId="0" applyFont="1" applyAlignment="1">
      <alignment vertical="center"/>
    </xf>
    <xf numFmtId="41" fontId="3" fillId="0" borderId="0" xfId="1" applyFont="1" applyFill="1" applyAlignment="1" applyProtection="1">
      <alignment vertical="center"/>
    </xf>
    <xf numFmtId="167" fontId="3" fillId="0" borderId="0" xfId="1" applyNumberFormat="1" applyFont="1" applyFill="1" applyAlignment="1" applyProtection="1">
      <alignment vertical="center"/>
    </xf>
    <xf numFmtId="10" fontId="3" fillId="0" borderId="0" xfId="4" applyNumberFormat="1" applyFont="1" applyAlignment="1">
      <alignment vertical="center"/>
    </xf>
    <xf numFmtId="0" fontId="3" fillId="0" borderId="0" xfId="0" applyFont="1" applyAlignment="1">
      <alignment horizontal="left" vertical="center" indent="2"/>
    </xf>
    <xf numFmtId="168" fontId="9" fillId="0" borderId="0" xfId="1" applyNumberFormat="1" applyFont="1" applyFill="1" applyAlignment="1" applyProtection="1">
      <alignment vertical="center"/>
    </xf>
    <xf numFmtId="41" fontId="9" fillId="0" borderId="0" xfId="1" applyFont="1" applyFill="1" applyAlignment="1" applyProtection="1">
      <alignment vertical="center"/>
    </xf>
    <xf numFmtId="5" fontId="18" fillId="0" borderId="0" xfId="0" applyNumberFormat="1" applyFont="1" applyFill="1" applyBorder="1" applyProtection="1"/>
    <xf numFmtId="0" fontId="18" fillId="0" borderId="0" xfId="0" applyFont="1" applyFill="1" applyBorder="1"/>
    <xf numFmtId="166" fontId="18" fillId="0" borderId="0" xfId="0" applyNumberFormat="1" applyFont="1" applyFill="1" applyBorder="1" applyProtection="1"/>
    <xf numFmtId="166" fontId="18" fillId="0" borderId="0" xfId="0" applyNumberFormat="1" applyFont="1" applyFill="1" applyBorder="1"/>
    <xf numFmtId="42" fontId="18" fillId="0" borderId="0" xfId="0" applyNumberFormat="1" applyFont="1" applyBorder="1"/>
    <xf numFmtId="10" fontId="18" fillId="0" borderId="0" xfId="4" applyNumberFormat="1" applyFont="1" applyBorder="1"/>
    <xf numFmtId="41" fontId="3" fillId="0" borderId="1" xfId="1" applyFont="1" applyBorder="1" applyAlignment="1">
      <alignment horizontal="center"/>
    </xf>
    <xf numFmtId="174" fontId="3" fillId="0" borderId="0" xfId="5" applyNumberFormat="1" applyFont="1" applyFill="1" applyProtection="1"/>
    <xf numFmtId="168" fontId="9" fillId="0" borderId="0" xfId="1" applyNumberFormat="1" applyFont="1" applyBorder="1" applyProtection="1"/>
    <xf numFmtId="41" fontId="3" fillId="0" borderId="0" xfId="1" applyFont="1" applyFill="1" applyProtection="1"/>
    <xf numFmtId="41" fontId="9" fillId="0" borderId="0" xfId="1" applyFont="1" applyFill="1" applyBorder="1" applyProtection="1"/>
    <xf numFmtId="42" fontId="3" fillId="0" borderId="0" xfId="1" applyNumberFormat="1" applyFont="1" applyFill="1" applyProtection="1"/>
    <xf numFmtId="41" fontId="3" fillId="0" borderId="0" xfId="1" applyFont="1" applyProtection="1"/>
    <xf numFmtId="41" fontId="9" fillId="0" borderId="0" xfId="1" applyFont="1" applyBorder="1" applyProtection="1"/>
    <xf numFmtId="41" fontId="3" fillId="0" borderId="0" xfId="1" applyFont="1" applyFill="1" applyProtection="1"/>
    <xf numFmtId="42" fontId="3" fillId="0" borderId="0" xfId="1" applyNumberFormat="1" applyFont="1" applyFill="1" applyProtection="1"/>
    <xf numFmtId="41" fontId="3" fillId="0" borderId="0" xfId="1" applyFont="1" applyFill="1" applyProtection="1"/>
    <xf numFmtId="167" fontId="9" fillId="0" borderId="0" xfId="1" applyNumberFormat="1" applyFont="1" applyFill="1" applyProtection="1"/>
    <xf numFmtId="167" fontId="9" fillId="0" borderId="0" xfId="1" applyNumberFormat="1" applyFont="1" applyFill="1" applyProtection="1"/>
    <xf numFmtId="168" fontId="3" fillId="0" borderId="0" xfId="1" applyNumberFormat="1" applyFont="1" applyProtection="1"/>
    <xf numFmtId="41" fontId="3" fillId="0" borderId="0" xfId="1" applyFont="1" applyFill="1" applyProtection="1"/>
    <xf numFmtId="41" fontId="9" fillId="0" borderId="0" xfId="1" applyFont="1" applyFill="1" applyBorder="1" applyProtection="1"/>
    <xf numFmtId="41" fontId="3" fillId="0" borderId="0" xfId="1" applyFont="1" applyProtection="1"/>
    <xf numFmtId="41" fontId="3" fillId="0" borderId="0" xfId="1" applyFont="1" applyFill="1" applyProtection="1"/>
    <xf numFmtId="167" fontId="9" fillId="0" borderId="0" xfId="1" applyNumberFormat="1" applyFont="1" applyProtection="1"/>
    <xf numFmtId="168" fontId="3" fillId="0" borderId="0" xfId="1" applyNumberFormat="1" applyFont="1" applyFill="1" applyProtection="1"/>
    <xf numFmtId="41" fontId="3" fillId="0" borderId="0" xfId="1" applyFont="1" applyFill="1" applyProtection="1"/>
    <xf numFmtId="41" fontId="9" fillId="0" borderId="0" xfId="1" applyFont="1" applyFill="1" applyProtection="1"/>
    <xf numFmtId="41" fontId="3" fillId="0" borderId="0" xfId="1" applyFont="1" applyProtection="1"/>
    <xf numFmtId="41" fontId="9" fillId="0" borderId="0" xfId="1" applyFont="1" applyFill="1" applyProtection="1"/>
    <xf numFmtId="167" fontId="3" fillId="0" borderId="0" xfId="1" applyNumberFormat="1" applyFont="1" applyFill="1" applyProtection="1"/>
    <xf numFmtId="41" fontId="9" fillId="0" borderId="0" xfId="1" applyFont="1" applyFill="1" applyBorder="1" applyProtection="1"/>
    <xf numFmtId="41" fontId="9" fillId="0" borderId="0" xfId="1" applyFont="1" applyBorder="1" applyProtection="1"/>
    <xf numFmtId="41" fontId="3" fillId="0" borderId="0" xfId="1" applyFont="1" applyProtection="1"/>
    <xf numFmtId="41" fontId="3" fillId="0" borderId="0" xfId="1" applyFont="1" applyFill="1" applyProtection="1"/>
    <xf numFmtId="41" fontId="9" fillId="0" borderId="0" xfId="1" applyFont="1" applyProtection="1"/>
    <xf numFmtId="42" fontId="3" fillId="0" borderId="0" xfId="1" applyNumberFormat="1" applyFont="1" applyFill="1" applyProtection="1"/>
    <xf numFmtId="168" fontId="3" fillId="0" borderId="0" xfId="1" applyNumberFormat="1" applyFont="1" applyFill="1" applyProtection="1"/>
    <xf numFmtId="168" fontId="3" fillId="0" borderId="0" xfId="1" applyNumberFormat="1" applyFont="1" applyProtection="1"/>
    <xf numFmtId="42" fontId="3" fillId="0" borderId="0" xfId="1" applyNumberFormat="1" applyFont="1" applyProtection="1"/>
    <xf numFmtId="41" fontId="3" fillId="0" borderId="0" xfId="1" applyFont="1" applyProtection="1"/>
    <xf numFmtId="41" fontId="3" fillId="0" borderId="0" xfId="1" applyFont="1" applyFill="1" applyProtection="1"/>
    <xf numFmtId="41" fontId="9" fillId="0" borderId="0" xfId="1" applyFont="1" applyProtection="1"/>
    <xf numFmtId="167" fontId="3" fillId="0" borderId="0" xfId="1" applyNumberFormat="1" applyFont="1" applyProtection="1"/>
    <xf numFmtId="168" fontId="3" fillId="0" borderId="0" xfId="1" applyNumberFormat="1" applyFont="1" applyProtection="1"/>
    <xf numFmtId="41" fontId="3" fillId="0" borderId="0" xfId="1" applyFont="1" applyFill="1" applyProtection="1"/>
    <xf numFmtId="41" fontId="9" fillId="0" borderId="0" xfId="1" applyFont="1" applyFill="1" applyBorder="1" applyProtection="1"/>
    <xf numFmtId="168" fontId="3" fillId="0" borderId="0" xfId="1" applyNumberFormat="1" applyFont="1" applyProtection="1"/>
    <xf numFmtId="41" fontId="3" fillId="0" borderId="0" xfId="1" applyFont="1" applyProtection="1"/>
    <xf numFmtId="41" fontId="3" fillId="0" borderId="0" xfId="1" applyFont="1" applyFill="1" applyProtection="1"/>
    <xf numFmtId="167" fontId="3" fillId="0" borderId="0" xfId="1" applyNumberFormat="1" applyFont="1" applyProtection="1"/>
    <xf numFmtId="168" fontId="9" fillId="0" borderId="0" xfId="1" applyNumberFormat="1" applyFont="1" applyProtection="1"/>
    <xf numFmtId="168" fontId="3" fillId="0" borderId="0" xfId="1" applyNumberFormat="1" applyFont="1" applyProtection="1"/>
    <xf numFmtId="41" fontId="3" fillId="0" borderId="0" xfId="1" applyFont="1" applyFill="1" applyProtection="1"/>
    <xf numFmtId="41" fontId="9" fillId="0" borderId="0" xfId="1" applyFont="1" applyFill="1" applyBorder="1" applyProtection="1"/>
    <xf numFmtId="41" fontId="3" fillId="0" borderId="0" xfId="1" applyFont="1" applyFill="1"/>
    <xf numFmtId="168" fontId="3" fillId="0" borderId="0" xfId="1" applyNumberFormat="1" applyFont="1" applyFill="1" applyProtection="1"/>
    <xf numFmtId="0" fontId="3" fillId="0" borderId="0" xfId="0" applyFont="1"/>
    <xf numFmtId="41" fontId="3" fillId="0" borderId="0" xfId="1" applyFont="1" applyProtection="1"/>
    <xf numFmtId="41" fontId="3" fillId="0" borderId="0" xfId="0" applyNumberFormat="1" applyFont="1"/>
    <xf numFmtId="41" fontId="3" fillId="0" borderId="0" xfId="1" applyFont="1" applyFill="1"/>
    <xf numFmtId="167" fontId="3" fillId="0" borderId="0" xfId="1" applyNumberFormat="1" applyFont="1" applyFill="1" applyProtection="1"/>
    <xf numFmtId="0" fontId="3" fillId="0" borderId="0" xfId="0" applyFont="1" applyAlignment="1">
      <alignment horizontal="left" indent="2"/>
    </xf>
    <xf numFmtId="10" fontId="3" fillId="0" borderId="0" xfId="4" applyNumberFormat="1" applyFont="1"/>
    <xf numFmtId="41" fontId="20" fillId="0" borderId="0" xfId="1" applyFont="1" applyFill="1"/>
    <xf numFmtId="41" fontId="20" fillId="0" borderId="0" xfId="1" applyFont="1" applyFill="1" applyProtection="1"/>
    <xf numFmtId="167" fontId="23" fillId="0" borderId="0" xfId="1" applyNumberFormat="1" applyFont="1" applyFill="1" applyBorder="1" applyProtection="1"/>
    <xf numFmtId="41" fontId="23" fillId="0" borderId="0" xfId="1" applyFont="1" applyFill="1" applyBorder="1" applyProtection="1"/>
    <xf numFmtId="41" fontId="23" fillId="0" borderId="0" xfId="1" applyFont="1" applyFill="1" applyBorder="1"/>
    <xf numFmtId="42" fontId="25" fillId="0" borderId="0" xfId="1" applyNumberFormat="1" applyFont="1" applyFill="1" applyBorder="1" applyProtection="1"/>
    <xf numFmtId="168" fontId="3" fillId="0" borderId="0" xfId="1" applyNumberFormat="1" applyFont="1" applyFill="1" applyProtection="1"/>
    <xf numFmtId="168" fontId="9" fillId="0" borderId="0" xfId="1" applyNumberFormat="1" applyFont="1" applyProtection="1"/>
    <xf numFmtId="168" fontId="23" fillId="0" borderId="0" xfId="1" applyNumberFormat="1" applyFont="1" applyFill="1" applyBorder="1" applyProtection="1"/>
    <xf numFmtId="168" fontId="3" fillId="0" borderId="0" xfId="1" applyNumberFormat="1" applyFont="1" applyProtection="1"/>
    <xf numFmtId="42" fontId="20" fillId="0" borderId="0" xfId="1" applyNumberFormat="1" applyFont="1" applyFill="1" applyProtection="1"/>
    <xf numFmtId="41" fontId="23" fillId="0" borderId="0" xfId="1" applyFont="1" applyFill="1" applyProtection="1"/>
    <xf numFmtId="42" fontId="20" fillId="0" borderId="0" xfId="1" applyNumberFormat="1" applyFont="1" applyFill="1" applyProtection="1"/>
    <xf numFmtId="167" fontId="23" fillId="0" borderId="0" xfId="1" applyNumberFormat="1" applyFont="1" applyFill="1" applyBorder="1" applyProtection="1"/>
    <xf numFmtId="42" fontId="20" fillId="0" borderId="0" xfId="1" applyNumberFormat="1" applyFont="1" applyFill="1" applyProtection="1"/>
    <xf numFmtId="41" fontId="23" fillId="0" borderId="0" xfId="1" applyFont="1" applyFill="1" applyProtection="1"/>
    <xf numFmtId="42" fontId="20" fillId="0" borderId="0" xfId="1" applyNumberFormat="1" applyFont="1" applyFill="1" applyProtection="1"/>
    <xf numFmtId="41" fontId="23" fillId="0" borderId="0" xfId="1" applyFont="1" applyFill="1" applyProtection="1"/>
    <xf numFmtId="41" fontId="20" fillId="0" borderId="0" xfId="1" applyFont="1" applyFill="1" applyProtection="1"/>
    <xf numFmtId="41" fontId="23" fillId="0" borderId="0" xfId="1" applyFont="1" applyFill="1" applyBorder="1" applyProtection="1"/>
    <xf numFmtId="41" fontId="23" fillId="0" borderId="0" xfId="1" applyFont="1" applyFill="1" applyBorder="1" applyProtection="1"/>
    <xf numFmtId="41" fontId="20" fillId="0" borderId="0" xfId="1" applyNumberFormat="1" applyFont="1" applyFill="1" applyProtection="1"/>
    <xf numFmtId="41" fontId="20" fillId="0" borderId="0" xfId="1" applyFont="1" applyFill="1" applyProtection="1"/>
    <xf numFmtId="41" fontId="23" fillId="0" borderId="0" xfId="1" applyFont="1" applyFill="1" applyBorder="1" applyProtection="1"/>
    <xf numFmtId="41" fontId="23" fillId="0" borderId="0" xfId="1" applyFont="1" applyFill="1" applyBorder="1" applyProtection="1"/>
    <xf numFmtId="41" fontId="20" fillId="0" borderId="0" xfId="1" applyNumberFormat="1" applyFont="1" applyFill="1" applyProtection="1"/>
    <xf numFmtId="41" fontId="20" fillId="0" borderId="0" xfId="1" applyFont="1" applyFill="1" applyProtection="1"/>
    <xf numFmtId="168" fontId="23" fillId="0" borderId="0" xfId="1" applyNumberFormat="1" applyFont="1" applyFill="1" applyBorder="1" applyProtection="1"/>
    <xf numFmtId="167" fontId="23" fillId="0" borderId="0" xfId="1" applyNumberFormat="1" applyFont="1" applyFill="1" applyBorder="1" applyProtection="1"/>
    <xf numFmtId="41" fontId="20" fillId="0" borderId="0" xfId="1" applyNumberFormat="1" applyFont="1" applyFill="1" applyProtection="1"/>
    <xf numFmtId="167" fontId="20" fillId="0" borderId="0" xfId="1" applyNumberFormat="1" applyFont="1" applyFill="1" applyProtection="1"/>
    <xf numFmtId="41" fontId="23" fillId="0" borderId="0" xfId="1" applyFont="1" applyFill="1" applyBorder="1" applyProtection="1"/>
    <xf numFmtId="167" fontId="20" fillId="0" borderId="0" xfId="1" applyNumberFormat="1" applyFont="1" applyFill="1" applyProtection="1"/>
    <xf numFmtId="41" fontId="23" fillId="0" borderId="0" xfId="1" applyFont="1" applyFill="1" applyBorder="1" applyProtection="1"/>
    <xf numFmtId="168" fontId="23" fillId="0" borderId="0" xfId="1" applyNumberFormat="1" applyFont="1" applyFill="1" applyBorder="1" applyProtection="1"/>
    <xf numFmtId="167" fontId="23" fillId="0" borderId="0" xfId="1" applyNumberFormat="1" applyFont="1" applyFill="1" applyBorder="1" applyProtection="1"/>
    <xf numFmtId="168" fontId="20" fillId="0" borderId="0" xfId="1" applyNumberFormat="1" applyFont="1" applyFill="1" applyProtection="1"/>
    <xf numFmtId="167" fontId="23" fillId="0" borderId="0" xfId="1" applyNumberFormat="1" applyFont="1" applyFill="1" applyBorder="1" applyProtection="1"/>
    <xf numFmtId="168" fontId="20" fillId="0" borderId="0" xfId="1" applyNumberFormat="1" applyFont="1" applyFill="1" applyProtection="1"/>
    <xf numFmtId="167" fontId="20" fillId="0" borderId="0" xfId="1" applyNumberFormat="1" applyFont="1" applyFill="1" applyProtection="1"/>
    <xf numFmtId="168" fontId="20" fillId="0" borderId="0" xfId="1" applyNumberFormat="1" applyFont="1" applyFill="1" applyProtection="1"/>
    <xf numFmtId="0" fontId="3" fillId="0" borderId="0" xfId="0" applyFont="1"/>
    <xf numFmtId="167" fontId="20" fillId="0" borderId="0" xfId="1" applyNumberFormat="1" applyFont="1" applyFill="1" applyProtection="1"/>
    <xf numFmtId="41" fontId="23" fillId="0" borderId="0" xfId="1" applyFont="1" applyFill="1" applyBorder="1"/>
    <xf numFmtId="168" fontId="20" fillId="0" borderId="0" xfId="1" applyNumberFormat="1" applyFont="1" applyFill="1" applyProtection="1"/>
    <xf numFmtId="0" fontId="3" fillId="0" borderId="0" xfId="0" applyFont="1" applyAlignment="1">
      <alignment vertical="center"/>
    </xf>
    <xf numFmtId="168" fontId="3" fillId="0" borderId="0" xfId="1" applyNumberFormat="1" applyFont="1" applyFill="1" applyAlignment="1" applyProtection="1">
      <alignment vertical="center"/>
    </xf>
    <xf numFmtId="0" fontId="9" fillId="0" borderId="0" xfId="0" applyFont="1" applyAlignment="1">
      <alignment vertical="center"/>
    </xf>
    <xf numFmtId="10" fontId="3" fillId="0" borderId="0" xfId="4" applyNumberFormat="1" applyFont="1" applyAlignment="1">
      <alignment vertical="center"/>
    </xf>
    <xf numFmtId="41" fontId="3" fillId="0" borderId="0" xfId="1" applyFont="1" applyProtection="1"/>
    <xf numFmtId="41" fontId="9" fillId="0" borderId="0" xfId="1" applyNumberFormat="1" applyFont="1" applyBorder="1" applyProtection="1"/>
    <xf numFmtId="42" fontId="3" fillId="0" borderId="0" xfId="1" applyNumberFormat="1" applyFont="1" applyFill="1" applyProtection="1"/>
    <xf numFmtId="41" fontId="9" fillId="0" borderId="0" xfId="1" applyFont="1" applyFill="1" applyProtection="1"/>
    <xf numFmtId="41" fontId="3" fillId="0" borderId="0" xfId="1" applyFont="1" applyFill="1" applyProtection="1"/>
    <xf numFmtId="41" fontId="9" fillId="0" borderId="0" xfId="1" applyFont="1" applyFill="1" applyBorder="1" applyProtection="1"/>
    <xf numFmtId="42" fontId="3" fillId="0" borderId="0" xfId="1" applyNumberFormat="1" applyFont="1" applyFill="1" applyProtection="1"/>
    <xf numFmtId="41" fontId="3" fillId="0" borderId="0" xfId="1" applyFont="1" applyFill="1" applyProtection="1"/>
    <xf numFmtId="41" fontId="9" fillId="0" borderId="0" xfId="1" applyFont="1" applyFill="1" applyBorder="1" applyProtection="1"/>
    <xf numFmtId="42" fontId="3" fillId="0" borderId="0" xfId="1" applyNumberFormat="1" applyFont="1" applyFill="1" applyProtection="1"/>
    <xf numFmtId="41" fontId="3" fillId="0" borderId="0" xfId="1" applyFont="1" applyFill="1" applyProtection="1"/>
    <xf numFmtId="41" fontId="3" fillId="0" borderId="0" xfId="1" applyFont="1" applyFill="1" applyBorder="1" applyProtection="1"/>
    <xf numFmtId="41" fontId="9" fillId="0" borderId="0" xfId="1" applyFont="1" applyFill="1" applyBorder="1" applyProtection="1"/>
    <xf numFmtId="41" fontId="9" fillId="0" borderId="0" xfId="1" applyFont="1" applyFill="1" applyProtection="1"/>
    <xf numFmtId="167" fontId="3" fillId="0" borderId="0" xfId="1" applyNumberFormat="1" applyFont="1" applyFill="1" applyProtection="1"/>
    <xf numFmtId="168" fontId="3" fillId="0" borderId="0" xfId="1" applyNumberFormat="1" applyFont="1" applyFill="1" applyProtection="1"/>
    <xf numFmtId="168" fontId="3" fillId="0" borderId="0" xfId="1" applyNumberFormat="1" applyFont="1" applyFill="1" applyAlignment="1" applyProtection="1">
      <alignment horizontal="left"/>
    </xf>
    <xf numFmtId="41" fontId="3" fillId="0" borderId="0" xfId="1" applyFont="1" applyFill="1" applyBorder="1" applyProtection="1"/>
    <xf numFmtId="41" fontId="9" fillId="0" borderId="0" xfId="1" applyNumberFormat="1" applyFont="1" applyFill="1" applyBorder="1" applyProtection="1"/>
    <xf numFmtId="167" fontId="3" fillId="0" borderId="0" xfId="1" applyNumberFormat="1" applyFont="1" applyFill="1" applyProtection="1"/>
    <xf numFmtId="168" fontId="3" fillId="0" borderId="0" xfId="1" applyNumberFormat="1" applyFont="1" applyFill="1" applyProtection="1"/>
    <xf numFmtId="41" fontId="9" fillId="0" borderId="0" xfId="1" applyFont="1" applyFill="1" applyBorder="1" applyProtection="1"/>
    <xf numFmtId="42" fontId="3" fillId="0" borderId="0" xfId="1" applyNumberFormat="1" applyFont="1" applyFill="1" applyProtection="1"/>
    <xf numFmtId="168" fontId="3" fillId="0" borderId="0" xfId="1" applyNumberFormat="1" applyFont="1" applyFill="1" applyProtection="1"/>
    <xf numFmtId="41" fontId="3" fillId="0" borderId="0" xfId="1" applyFont="1" applyFill="1" applyProtection="1"/>
    <xf numFmtId="41" fontId="3" fillId="0" borderId="0" xfId="1" applyFont="1" applyFill="1" applyBorder="1" applyProtection="1"/>
    <xf numFmtId="41" fontId="9" fillId="0" borderId="0" xfId="1" applyNumberFormat="1" applyFont="1" applyFill="1" applyBorder="1" applyProtection="1"/>
    <xf numFmtId="167" fontId="3" fillId="0" borderId="0" xfId="1" applyNumberFormat="1" applyFont="1" applyFill="1" applyProtection="1"/>
    <xf numFmtId="41" fontId="3" fillId="0" borderId="0" xfId="1" applyFont="1" applyFill="1" applyProtection="1"/>
    <xf numFmtId="41" fontId="3" fillId="0" borderId="0" xfId="1" applyFont="1" applyFill="1" applyBorder="1" applyProtection="1"/>
    <xf numFmtId="41" fontId="9" fillId="0" borderId="0" xfId="1" applyFont="1" applyFill="1" applyProtection="1"/>
    <xf numFmtId="167" fontId="3" fillId="0" borderId="0" xfId="1" applyNumberFormat="1" applyFont="1" applyFill="1" applyProtection="1"/>
    <xf numFmtId="168" fontId="3" fillId="0" borderId="0" xfId="1" applyNumberFormat="1" applyFont="1" applyFill="1" applyProtection="1"/>
    <xf numFmtId="41" fontId="3" fillId="0" borderId="0" xfId="1" applyFont="1" applyFill="1" applyProtection="1"/>
    <xf numFmtId="41" fontId="3" fillId="0" borderId="0" xfId="1" applyFont="1" applyFill="1" applyBorder="1" applyProtection="1"/>
    <xf numFmtId="41" fontId="9" fillId="0" borderId="0" xfId="1" applyNumberFormat="1" applyFont="1" applyFill="1" applyBorder="1" applyProtection="1"/>
    <xf numFmtId="167" fontId="3" fillId="0" borderId="0" xfId="1" applyNumberFormat="1" applyFont="1" applyFill="1" applyProtection="1"/>
    <xf numFmtId="168" fontId="3" fillId="0" borderId="0" xfId="1" applyNumberFormat="1" applyFont="1" applyFill="1" applyProtection="1"/>
    <xf numFmtId="41" fontId="3" fillId="0" borderId="0" xfId="1" applyFont="1" applyFill="1" applyProtection="1"/>
    <xf numFmtId="41" fontId="3" fillId="0" borderId="0" xfId="1" applyFont="1" applyFill="1" applyBorder="1" applyProtection="1"/>
    <xf numFmtId="167" fontId="3" fillId="0" borderId="0" xfId="1" applyNumberFormat="1" applyFont="1" applyFill="1" applyProtection="1"/>
    <xf numFmtId="168" fontId="3" fillId="0" borderId="0" xfId="1" applyNumberFormat="1" applyFont="1" applyFill="1" applyProtection="1"/>
    <xf numFmtId="41" fontId="3" fillId="0" borderId="0" xfId="1" applyFont="1" applyFill="1" applyBorder="1" applyProtection="1"/>
    <xf numFmtId="41" fontId="9" fillId="0" borderId="0" xfId="1" applyNumberFormat="1" applyFont="1" applyFill="1" applyBorder="1" applyProtection="1"/>
    <xf numFmtId="167" fontId="3" fillId="0" borderId="0" xfId="1" applyNumberFormat="1" applyFont="1" applyFill="1" applyProtection="1"/>
    <xf numFmtId="168" fontId="3" fillId="0" borderId="0" xfId="1" applyNumberFormat="1" applyFont="1" applyFill="1" applyProtection="1"/>
    <xf numFmtId="41" fontId="3" fillId="0" borderId="0" xfId="1" applyFont="1" applyFill="1" applyProtection="1"/>
    <xf numFmtId="41" fontId="3" fillId="0" borderId="0" xfId="1" applyFont="1" applyFill="1" applyBorder="1" applyProtection="1"/>
    <xf numFmtId="41" fontId="9" fillId="0" borderId="0" xfId="1" applyNumberFormat="1" applyFont="1" applyFill="1" applyBorder="1" applyProtection="1"/>
    <xf numFmtId="167" fontId="3" fillId="0" borderId="0" xfId="1" applyNumberFormat="1" applyFont="1" applyFill="1" applyProtection="1"/>
    <xf numFmtId="168" fontId="3" fillId="0" borderId="0" xfId="1" applyNumberFormat="1" applyFont="1" applyFill="1" applyProtection="1"/>
    <xf numFmtId="41" fontId="3" fillId="0" borderId="0" xfId="1" applyFont="1" applyFill="1" applyProtection="1"/>
    <xf numFmtId="42" fontId="3" fillId="0" borderId="0" xfId="1" applyNumberFormat="1" applyFont="1" applyFill="1" applyProtection="1"/>
    <xf numFmtId="41" fontId="9" fillId="0" borderId="0" xfId="1" applyFont="1" applyFill="1" applyProtection="1"/>
    <xf numFmtId="42" fontId="3" fillId="0" borderId="0" xfId="1" applyNumberFormat="1" applyFont="1" applyFill="1" applyProtection="1"/>
    <xf numFmtId="41" fontId="9" fillId="0" borderId="0" xfId="1" applyFont="1" applyFill="1" applyProtection="1"/>
    <xf numFmtId="167" fontId="3" fillId="0" borderId="0" xfId="1" applyNumberFormat="1" applyFont="1" applyFill="1" applyProtection="1"/>
    <xf numFmtId="41" fontId="9" fillId="0" borderId="0" xfId="1" applyFont="1" applyFill="1" applyBorder="1" applyProtection="1"/>
    <xf numFmtId="42" fontId="3" fillId="0" borderId="0" xfId="1" applyNumberFormat="1" applyFont="1" applyFill="1" applyProtection="1"/>
    <xf numFmtId="167" fontId="3" fillId="0" borderId="0" xfId="1" applyNumberFormat="1" applyFont="1" applyFill="1" applyBorder="1"/>
    <xf numFmtId="168" fontId="3" fillId="0" borderId="0" xfId="1" applyNumberFormat="1" applyFont="1" applyFill="1" applyBorder="1"/>
    <xf numFmtId="41" fontId="3" fillId="0" borderId="0" xfId="1" applyFont="1" applyFill="1" applyProtection="1"/>
    <xf numFmtId="41" fontId="9" fillId="0" borderId="0" xfId="1" applyFont="1" applyFill="1" applyBorder="1" applyProtection="1"/>
    <xf numFmtId="42" fontId="3" fillId="0" borderId="0" xfId="1" applyNumberFormat="1" applyFont="1" applyFill="1" applyProtection="1"/>
    <xf numFmtId="41" fontId="3" fillId="0" borderId="0" xfId="1" applyFont="1" applyFill="1" applyProtection="1"/>
    <xf numFmtId="41" fontId="9" fillId="0" borderId="0" xfId="1" applyFont="1" applyFill="1" applyBorder="1" applyProtection="1"/>
    <xf numFmtId="42" fontId="3" fillId="0" borderId="0" xfId="1" applyNumberFormat="1" applyFont="1" applyFill="1" applyProtection="1"/>
    <xf numFmtId="41" fontId="3" fillId="0" borderId="0" xfId="1" applyFont="1" applyFill="1" applyBorder="1" applyProtection="1"/>
    <xf numFmtId="41" fontId="9" fillId="0" borderId="0" xfId="1" applyNumberFormat="1" applyFont="1" applyFill="1" applyBorder="1" applyProtection="1"/>
    <xf numFmtId="167" fontId="3" fillId="0" borderId="0" xfId="1" applyNumberFormat="1" applyFont="1" applyFill="1" applyBorder="1" applyProtection="1"/>
    <xf numFmtId="167" fontId="3" fillId="0" borderId="0" xfId="1" applyNumberFormat="1" applyFont="1" applyFill="1" applyBorder="1"/>
    <xf numFmtId="41" fontId="3" fillId="0" borderId="7" xfId="1" applyFont="1" applyFill="1" applyBorder="1" applyProtection="1"/>
    <xf numFmtId="41" fontId="3" fillId="0" borderId="0" xfId="1" applyFont="1" applyFill="1" applyBorder="1" applyProtection="1"/>
    <xf numFmtId="41" fontId="9" fillId="0" borderId="0" xfId="1" applyNumberFormat="1" applyFont="1" applyFill="1" applyBorder="1" applyProtection="1"/>
    <xf numFmtId="41" fontId="3" fillId="0" borderId="0" xfId="1" applyFont="1" applyFill="1" applyBorder="1"/>
    <xf numFmtId="167" fontId="3" fillId="0" borderId="0" xfId="1" applyNumberFormat="1" applyFont="1" applyFill="1" applyBorder="1" applyProtection="1"/>
    <xf numFmtId="41" fontId="3" fillId="0" borderId="7" xfId="1" applyFont="1" applyFill="1" applyBorder="1" applyProtection="1"/>
    <xf numFmtId="167" fontId="3" fillId="0" borderId="7" xfId="1" applyNumberFormat="1" applyFont="1" applyFill="1" applyBorder="1" applyProtection="1"/>
    <xf numFmtId="167" fontId="3" fillId="0" borderId="7" xfId="1" applyNumberFormat="1" applyFont="1" applyFill="1" applyBorder="1"/>
    <xf numFmtId="0" fontId="3" fillId="0" borderId="0" xfId="0" applyFont="1"/>
    <xf numFmtId="41" fontId="3" fillId="0" borderId="0" xfId="1" applyFont="1" applyBorder="1" applyProtection="1"/>
    <xf numFmtId="0" fontId="3" fillId="0" borderId="0" xfId="0" applyFont="1" applyBorder="1"/>
    <xf numFmtId="41" fontId="9" fillId="0" borderId="0" xfId="1" applyFont="1" applyBorder="1" applyProtection="1"/>
    <xf numFmtId="41" fontId="3" fillId="0" borderId="0" xfId="1" applyFont="1" applyFill="1" applyBorder="1" applyProtection="1"/>
    <xf numFmtId="41" fontId="9" fillId="0" borderId="0" xfId="1" applyNumberFormat="1" applyFont="1" applyFill="1" applyBorder="1" applyProtection="1"/>
    <xf numFmtId="37" fontId="3" fillId="0" borderId="3" xfId="0" applyNumberFormat="1" applyFont="1" applyFill="1" applyBorder="1" applyProtection="1"/>
    <xf numFmtId="41" fontId="3" fillId="0" borderId="3" xfId="0" applyNumberFormat="1" applyFont="1" applyFill="1" applyBorder="1" applyProtection="1"/>
    <xf numFmtId="167" fontId="3" fillId="0" borderId="0" xfId="1" applyNumberFormat="1" applyFont="1" applyFill="1" applyBorder="1" applyProtection="1"/>
    <xf numFmtId="167" fontId="3" fillId="0" borderId="0" xfId="1" applyNumberFormat="1" applyFont="1" applyFill="1" applyBorder="1"/>
    <xf numFmtId="168" fontId="9" fillId="0" borderId="0" xfId="1" applyNumberFormat="1" applyFont="1" applyFill="1" applyBorder="1" applyProtection="1"/>
    <xf numFmtId="173" fontId="18" fillId="0" borderId="0" xfId="1" applyNumberFormat="1" applyFont="1" applyFill="1" applyBorder="1" applyProtection="1"/>
    <xf numFmtId="41" fontId="3" fillId="0" borderId="0" xfId="1" applyFont="1" applyFill="1" applyBorder="1" applyProtection="1"/>
    <xf numFmtId="41" fontId="9" fillId="0" borderId="0" xfId="1" applyFont="1" applyFill="1" applyBorder="1" applyProtection="1"/>
    <xf numFmtId="167" fontId="3" fillId="0" borderId="0" xfId="1" applyNumberFormat="1" applyFont="1" applyFill="1" applyBorder="1" applyProtection="1"/>
    <xf numFmtId="168" fontId="9" fillId="0" borderId="0" xfId="1" applyNumberFormat="1" applyFont="1" applyFill="1" applyBorder="1" applyProtection="1"/>
    <xf numFmtId="173" fontId="18" fillId="0" borderId="0" xfId="1" applyNumberFormat="1" applyFont="1" applyFill="1" applyBorder="1" applyProtection="1"/>
    <xf numFmtId="9" fontId="3" fillId="0" borderId="0" xfId="4" applyNumberFormat="1" applyFont="1"/>
    <xf numFmtId="168" fontId="11" fillId="0" borderId="0" xfId="0" applyNumberFormat="1" applyFont="1"/>
    <xf numFmtId="42" fontId="3" fillId="0" borderId="0" xfId="1" applyNumberFormat="1" applyFont="1" applyProtection="1"/>
    <xf numFmtId="41" fontId="3" fillId="0" borderId="0" xfId="1" applyFont="1" applyProtection="1"/>
    <xf numFmtId="41" fontId="9" fillId="0" borderId="0" xfId="1" applyFont="1" applyBorder="1" applyProtection="1"/>
    <xf numFmtId="41" fontId="3" fillId="0" borderId="0" xfId="1" applyFont="1" applyProtection="1"/>
    <xf numFmtId="41" fontId="9" fillId="0" borderId="0" xfId="1" applyFont="1" applyBorder="1" applyProtection="1"/>
    <xf numFmtId="41" fontId="3" fillId="0" borderId="0" xfId="1" applyFont="1" applyFill="1" applyProtection="1"/>
    <xf numFmtId="0" fontId="0" fillId="0" borderId="0" xfId="0"/>
    <xf numFmtId="41" fontId="3" fillId="0" borderId="0" xfId="1" applyFont="1"/>
    <xf numFmtId="41" fontId="3" fillId="0" borderId="0" xfId="1" applyFont="1" applyProtection="1"/>
    <xf numFmtId="41" fontId="9" fillId="0" borderId="0" xfId="1" applyFont="1" applyBorder="1" applyProtection="1"/>
    <xf numFmtId="167" fontId="3" fillId="0" borderId="0" xfId="1" applyNumberFormat="1" applyFont="1" applyFill="1" applyProtection="1"/>
    <xf numFmtId="167" fontId="3" fillId="0" borderId="0" xfId="1" applyNumberFormat="1" applyFont="1" applyFill="1" applyAlignment="1" applyProtection="1">
      <alignment vertical="center"/>
    </xf>
    <xf numFmtId="42" fontId="3" fillId="0" borderId="0" xfId="1" applyNumberFormat="1" applyFont="1" applyFill="1" applyProtection="1"/>
    <xf numFmtId="167" fontId="9" fillId="0" borderId="0" xfId="1" applyNumberFormat="1" applyFont="1" applyFill="1" applyProtection="1"/>
    <xf numFmtId="42" fontId="3" fillId="0" borderId="0" xfId="1" applyNumberFormat="1" applyFont="1" applyFill="1" applyProtection="1"/>
    <xf numFmtId="168" fontId="9" fillId="0" borderId="0" xfId="1" applyNumberFormat="1" applyFont="1" applyFill="1" applyProtection="1"/>
    <xf numFmtId="41" fontId="3" fillId="0" borderId="0" xfId="1" applyFont="1" applyFill="1" applyProtection="1"/>
    <xf numFmtId="41" fontId="9" fillId="0" borderId="0" xfId="1" applyFont="1" applyFill="1" applyBorder="1" applyProtection="1"/>
    <xf numFmtId="41" fontId="3" fillId="0" borderId="0" xfId="1" applyFont="1" applyFill="1" applyProtection="1"/>
    <xf numFmtId="41" fontId="9" fillId="0" borderId="0" xfId="1" applyFont="1" applyFill="1" applyBorder="1" applyProtection="1"/>
    <xf numFmtId="41" fontId="3" fillId="0" borderId="0" xfId="1" applyFont="1" applyFill="1" applyProtection="1"/>
    <xf numFmtId="167" fontId="9" fillId="0" borderId="0" xfId="1" applyNumberFormat="1" applyFont="1" applyFill="1" applyBorder="1" applyProtection="1"/>
    <xf numFmtId="41" fontId="3" fillId="0" borderId="0" xfId="1" applyFont="1" applyFill="1" applyProtection="1"/>
    <xf numFmtId="41" fontId="9" fillId="0" borderId="0" xfId="1" applyFont="1" applyFill="1" applyBorder="1" applyProtection="1"/>
    <xf numFmtId="167" fontId="3" fillId="0" borderId="0" xfId="1" applyNumberFormat="1" applyFont="1" applyFill="1" applyProtection="1"/>
    <xf numFmtId="168" fontId="10" fillId="0" borderId="0" xfId="0" applyNumberFormat="1" applyFont="1" applyProtection="1"/>
    <xf numFmtId="168" fontId="14" fillId="0" borderId="0" xfId="0" applyNumberFormat="1" applyFont="1" applyBorder="1" applyProtection="1"/>
    <xf numFmtId="0" fontId="3" fillId="0" borderId="0" xfId="0" applyFont="1" applyFill="1" applyAlignment="1">
      <alignment horizontal="left" indent="4"/>
    </xf>
    <xf numFmtId="0" fontId="3" fillId="0" borderId="0" xfId="0" applyFont="1" applyBorder="1" applyAlignment="1">
      <alignment horizontal="left" indent="1"/>
    </xf>
    <xf numFmtId="167" fontId="20" fillId="0" borderId="0" xfId="1" applyNumberFormat="1" applyFont="1" applyFill="1" applyBorder="1" applyProtection="1"/>
    <xf numFmtId="37" fontId="9" fillId="0" borderId="0" xfId="0" applyNumberFormat="1" applyFont="1" applyFill="1" applyBorder="1" applyProtection="1"/>
    <xf numFmtId="41" fontId="3" fillId="0" borderId="1" xfId="1" applyFont="1" applyFill="1" applyBorder="1" applyAlignment="1">
      <alignment horizontal="center"/>
    </xf>
    <xf numFmtId="168" fontId="20" fillId="0" borderId="0" xfId="1" applyNumberFormat="1" applyFont="1" applyFill="1" applyBorder="1" applyProtection="1"/>
    <xf numFmtId="43" fontId="3" fillId="0" borderId="0" xfId="5" applyFont="1" applyFill="1" applyAlignment="1">
      <alignment horizontal="left"/>
    </xf>
    <xf numFmtId="43" fontId="20" fillId="0" borderId="0" xfId="5" applyFont="1" applyFill="1" applyAlignment="1">
      <alignment horizontal="left"/>
    </xf>
    <xf numFmtId="0" fontId="3" fillId="0" borderId="0" xfId="4" applyNumberFormat="1" applyFont="1"/>
    <xf numFmtId="0" fontId="20" fillId="0" borderId="0" xfId="0" applyFont="1" applyAlignment="1">
      <alignment vertical="center"/>
    </xf>
    <xf numFmtId="41" fontId="20" fillId="0" borderId="0" xfId="1" applyFont="1" applyFill="1" applyBorder="1" applyAlignment="1" applyProtection="1">
      <alignment vertical="center"/>
    </xf>
    <xf numFmtId="41" fontId="9" fillId="0" borderId="0" xfId="0" applyNumberFormat="1" applyFont="1" applyFill="1" applyProtection="1"/>
    <xf numFmtId="168" fontId="3" fillId="0" borderId="7" xfId="1" applyNumberFormat="1" applyFont="1" applyFill="1" applyBorder="1"/>
    <xf numFmtId="0" fontId="20" fillId="0" borderId="0" xfId="0" applyFont="1" applyAlignment="1">
      <alignment horizontal="left" indent="2"/>
    </xf>
    <xf numFmtId="0" fontId="22" fillId="0" borderId="0" xfId="0" applyFont="1" applyAlignment="1">
      <alignment horizontal="left"/>
    </xf>
    <xf numFmtId="37" fontId="24" fillId="0" borderId="0" xfId="0" applyNumberFormat="1" applyFont="1" applyProtection="1"/>
    <xf numFmtId="175" fontId="20" fillId="0" borderId="0" xfId="2" applyNumberFormat="1" applyFont="1" applyProtection="1"/>
    <xf numFmtId="0" fontId="22" fillId="0" borderId="0" xfId="0" applyFont="1" applyAlignment="1">
      <alignment horizontal="left" indent="4"/>
    </xf>
    <xf numFmtId="0" fontId="22" fillId="0" borderId="0" xfId="0" applyFont="1" applyAlignment="1">
      <alignment horizontal="left" indent="1"/>
    </xf>
    <xf numFmtId="0" fontId="20" fillId="0" borderId="0" xfId="0" applyFont="1" applyAlignment="1">
      <alignment horizontal="left" indent="3"/>
    </xf>
    <xf numFmtId="174" fontId="20" fillId="0" borderId="0" xfId="5" applyNumberFormat="1" applyFont="1" applyProtection="1"/>
    <xf numFmtId="174" fontId="24" fillId="0" borderId="0" xfId="5" applyNumberFormat="1" applyFont="1" applyProtection="1"/>
    <xf numFmtId="174" fontId="20" fillId="0" borderId="0" xfId="5" applyNumberFormat="1" applyFont="1"/>
    <xf numFmtId="174" fontId="23" fillId="0" borderId="0" xfId="5" applyNumberFormat="1" applyFont="1"/>
    <xf numFmtId="175" fontId="25" fillId="0" borderId="0" xfId="2" applyNumberFormat="1" applyFont="1"/>
    <xf numFmtId="0" fontId="24" fillId="0" borderId="0" xfId="4" applyNumberFormat="1" applyFont="1" applyFill="1"/>
    <xf numFmtId="37" fontId="3" fillId="0" borderId="0" xfId="3" applyFont="1" applyAlignment="1">
      <alignment wrapText="1"/>
    </xf>
    <xf numFmtId="37" fontId="6" fillId="0" borderId="0" xfId="3" applyFont="1" applyAlignment="1">
      <alignment horizontal="center"/>
    </xf>
    <xf numFmtId="37" fontId="4" fillId="0" borderId="0" xfId="3" applyFont="1" applyAlignment="1">
      <alignment horizontal="center"/>
    </xf>
    <xf numFmtId="0" fontId="6" fillId="0" borderId="0" xfId="0" applyFont="1" applyAlignment="1">
      <alignment horizontal="center"/>
    </xf>
    <xf numFmtId="0" fontId="7" fillId="0" borderId="0" xfId="0" applyFont="1" applyAlignment="1">
      <alignment horizontal="center"/>
    </xf>
    <xf numFmtId="0" fontId="4" fillId="0" borderId="0" xfId="0" applyFont="1" applyAlignment="1">
      <alignment horizontal="center"/>
    </xf>
    <xf numFmtId="0" fontId="22" fillId="0" borderId="0" xfId="0" applyFont="1" applyAlignment="1">
      <alignment horizontal="center"/>
    </xf>
    <xf numFmtId="165" fontId="22" fillId="0" borderId="0" xfId="0" applyNumberFormat="1" applyFont="1" applyAlignment="1">
      <alignment horizontal="center"/>
    </xf>
    <xf numFmtId="41" fontId="3" fillId="0" borderId="1" xfId="1" applyFont="1" applyFill="1" applyBorder="1" applyAlignment="1">
      <alignment horizontal="center"/>
    </xf>
    <xf numFmtId="41" fontId="3" fillId="0" borderId="2" xfId="1" applyFont="1" applyFill="1" applyBorder="1" applyAlignment="1" applyProtection="1">
      <alignment horizontal="center"/>
    </xf>
    <xf numFmtId="0" fontId="4" fillId="0" borderId="0" xfId="0" applyFont="1" applyFill="1" applyAlignment="1">
      <alignment horizontal="center"/>
    </xf>
    <xf numFmtId="37" fontId="3" fillId="0" borderId="1" xfId="0" applyNumberFormat="1" applyFont="1" applyBorder="1" applyAlignment="1" applyProtection="1">
      <alignment horizontal="center"/>
    </xf>
    <xf numFmtId="41" fontId="3" fillId="0" borderId="1" xfId="1" applyFont="1" applyBorder="1" applyAlignment="1" applyProtection="1">
      <alignment horizontal="center"/>
    </xf>
    <xf numFmtId="0" fontId="3" fillId="0" borderId="0" xfId="0" applyFont="1" applyAlignment="1">
      <alignment horizontal="center"/>
    </xf>
    <xf numFmtId="0" fontId="4" fillId="0" borderId="0" xfId="0" applyFont="1" applyAlignment="1">
      <alignment horizontal="center" vertical="center"/>
    </xf>
    <xf numFmtId="41" fontId="3" fillId="0" borderId="1" xfId="1" applyFont="1" applyFill="1" applyBorder="1" applyAlignment="1" applyProtection="1">
      <alignment horizontal="center"/>
    </xf>
    <xf numFmtId="0" fontId="22" fillId="0" borderId="0" xfId="0" applyFont="1" applyFill="1" applyAlignment="1">
      <alignment horizontal="center"/>
    </xf>
    <xf numFmtId="37" fontId="3" fillId="0" borderId="9" xfId="0" applyNumberFormat="1" applyFont="1" applyBorder="1" applyAlignment="1" applyProtection="1">
      <alignment horizontal="center"/>
    </xf>
    <xf numFmtId="0" fontId="3" fillId="0" borderId="1" xfId="0" applyFont="1" applyBorder="1" applyAlignment="1">
      <alignment horizontal="center"/>
    </xf>
    <xf numFmtId="0" fontId="3" fillId="0" borderId="9" xfId="0" applyFont="1" applyBorder="1" applyAlignment="1">
      <alignment horizontal="center"/>
    </xf>
    <xf numFmtId="41" fontId="3" fillId="0" borderId="1" xfId="1" applyFont="1" applyBorder="1" applyAlignment="1">
      <alignment horizontal="center"/>
    </xf>
    <xf numFmtId="41" fontId="3" fillId="0" borderId="9" xfId="1" applyFont="1" applyBorder="1" applyAlignment="1">
      <alignment horizontal="center"/>
    </xf>
    <xf numFmtId="0" fontId="15" fillId="0" borderId="2" xfId="0" applyFont="1" applyBorder="1" applyAlignment="1">
      <alignment horizontal="center"/>
    </xf>
  </cellXfs>
  <cellStyles count="6">
    <cellStyle name="Comma" xfId="5" builtinId="3"/>
    <cellStyle name="Comma [0]" xfId="1" builtinId="6"/>
    <cellStyle name="Currency" xfId="2" builtinId="4"/>
    <cellStyle name="Normal" xfId="0" builtinId="0"/>
    <cellStyle name="Normal_BUDGET06" xfId="3"/>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so/116049/Budget/2014/14BUDGET%20rec'd%20from%20Toria%20revis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ria/Downloads/2014/14BUDGET%20rec'd%20from%20Toria%20revis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so/103364/2009/09CPBUDG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so/116049/2008/Budget/08BudgetDraftpb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oria/Downloads/2014/2012BUDGET-RecdCopySenttoClien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 Table of contents"/>
      <sheetName val=" Budget message"/>
      <sheetName val="Capital Outlay Budget Request"/>
      <sheetName val="General Fund"/>
      <sheetName val="Sales Tax Funds"/>
      <sheetName val="Debt Service Funds"/>
      <sheetName val="capital projects fund"/>
      <sheetName val="Utility Fund"/>
      <sheetName val="Utility Fund - analysis by dept"/>
      <sheetName val="Estimating Schedules-Divider "/>
      <sheetName val="Estimating Schedule - GF"/>
      <sheetName val="Estimating Schedule - SRF"/>
      <sheetName val="Estimating Schedule - DSF"/>
      <sheetName val="Estimating Schedule - UF"/>
      <sheetName val="Sheet1"/>
    </sheetNames>
    <sheetDataSet>
      <sheetData sheetId="0">
        <row r="16">
          <cell r="A16" t="str">
            <v>TOWN OF PORT BARRE, LOUISIANA</v>
          </cell>
        </row>
        <row r="20">
          <cell r="A20" t="str">
            <v>AMENDED  BUDGET</v>
          </cell>
        </row>
        <row r="22">
          <cell r="A22" t="str">
            <v>YEAR ENDING SEPTEMBER 30, 2013</v>
          </cell>
        </row>
        <row r="25">
          <cell r="A25" t="str">
            <v>AND THE</v>
          </cell>
        </row>
        <row r="27">
          <cell r="A27" t="str">
            <v>ORIGINAL  BUDGET</v>
          </cell>
        </row>
        <row r="29">
          <cell r="A29" t="str">
            <v>YEAR ENDING SEPTEMBER 30, 2014</v>
          </cell>
        </row>
      </sheetData>
      <sheetData sheetId="1">
        <row r="2">
          <cell r="A2" t="str">
            <v>BUDGET</v>
          </cell>
        </row>
        <row r="3">
          <cell r="A3" t="str">
            <v>Year Ending September 30, 2014</v>
          </cell>
        </row>
        <row r="6">
          <cell r="A6" t="str">
            <v>TABLE OF CONTENTS</v>
          </cell>
        </row>
        <row r="8">
          <cell r="H8" t="str">
            <v>Page</v>
          </cell>
        </row>
        <row r="10">
          <cell r="C10" t="str">
            <v>Budget message</v>
          </cell>
          <cell r="H10" t="str">
            <v>-</v>
          </cell>
        </row>
        <row r="12">
          <cell r="C12" t="str">
            <v>Consolidated budget</v>
          </cell>
          <cell r="H12" t="str">
            <v>1</v>
          </cell>
        </row>
        <row r="14">
          <cell r="C14" t="str">
            <v>Capital outlay budget request</v>
          </cell>
          <cell r="H14" t="str">
            <v>2</v>
          </cell>
        </row>
        <row r="16">
          <cell r="C16" t="str">
            <v>General Fund -</v>
          </cell>
        </row>
        <row r="17">
          <cell r="C17" t="str">
            <v xml:space="preserve">    Budget</v>
          </cell>
          <cell r="H17" t="str">
            <v>3</v>
          </cell>
        </row>
        <row r="18">
          <cell r="C18" t="str">
            <v xml:space="preserve">    Revenue summary</v>
          </cell>
          <cell r="H18" t="str">
            <v>4</v>
          </cell>
        </row>
        <row r="19">
          <cell r="C19" t="str">
            <v xml:space="preserve">    Summary of expenditures </v>
          </cell>
          <cell r="H19" t="str">
            <v>5 - 6</v>
          </cell>
        </row>
        <row r="21">
          <cell r="C21" t="str">
            <v>Special revenue funds-</v>
          </cell>
        </row>
        <row r="22">
          <cell r="C22" t="str">
            <v xml:space="preserve">  1966 and 1996 Sales Tax Funds -</v>
          </cell>
        </row>
        <row r="23">
          <cell r="C23" t="str">
            <v xml:space="preserve">    Combining statement of revenues and expenditures</v>
          </cell>
          <cell r="H23" t="str">
            <v>7</v>
          </cell>
        </row>
        <row r="25">
          <cell r="C25" t="str">
            <v>Debt service fund -</v>
          </cell>
        </row>
        <row r="26">
          <cell r="C26" t="str">
            <v xml:space="preserve">  Combining statement of revenues and expenditures</v>
          </cell>
          <cell r="H26" t="str">
            <v>8</v>
          </cell>
        </row>
        <row r="28">
          <cell r="C28" t="str">
            <v>Capital projects fund</v>
          </cell>
          <cell r="H28">
            <v>9</v>
          </cell>
        </row>
        <row r="30">
          <cell r="C30" t="str">
            <v>Utility Fund (combined utility -</v>
          </cell>
        </row>
        <row r="31">
          <cell r="C31" t="str">
            <v xml:space="preserve">  gas, water, and sewer) -</v>
          </cell>
        </row>
        <row r="32">
          <cell r="C32" t="str">
            <v xml:space="preserve">    Budget</v>
          </cell>
          <cell r="H32">
            <v>10</v>
          </cell>
        </row>
        <row r="33">
          <cell r="C33" t="str">
            <v xml:space="preserve">    Departmental utility fund analysis</v>
          </cell>
          <cell r="H33">
            <v>11</v>
          </cell>
        </row>
        <row r="35">
          <cell r="C35" t="str">
            <v xml:space="preserve">Estimating Schedules - </v>
          </cell>
        </row>
        <row r="36">
          <cell r="C36" t="str">
            <v xml:space="preserve">    General Fund</v>
          </cell>
          <cell r="H36" t="str">
            <v>12 - 15</v>
          </cell>
        </row>
        <row r="37">
          <cell r="C37" t="str">
            <v xml:space="preserve">    Special revenue funds</v>
          </cell>
          <cell r="H37" t="str">
            <v>16</v>
          </cell>
        </row>
        <row r="38">
          <cell r="C38" t="str">
            <v xml:space="preserve">    Debt service fund</v>
          </cell>
          <cell r="H38" t="str">
            <v>17</v>
          </cell>
        </row>
        <row r="39">
          <cell r="C39" t="str">
            <v xml:space="preserve">    Utility Fund</v>
          </cell>
          <cell r="H39" t="str">
            <v>18</v>
          </cell>
        </row>
        <row r="170">
          <cell r="B170" t="str">
            <v>|::</v>
          </cell>
        </row>
      </sheetData>
      <sheetData sheetId="2">
        <row r="2">
          <cell r="B2" t="str">
            <v>BUDGET MESSAGE</v>
          </cell>
        </row>
      </sheetData>
      <sheetData sheetId="3">
        <row r="2">
          <cell r="A2" t="str">
            <v>CAPITAL OUTLAY BUDGET REQUEST</v>
          </cell>
        </row>
      </sheetData>
      <sheetData sheetId="4">
        <row r="2">
          <cell r="A2" t="str">
            <v>TOWN OF PORT BARRE, LOUISIANA</v>
          </cell>
        </row>
      </sheetData>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 Table of contents"/>
      <sheetName val=" Budget message"/>
      <sheetName val="Capital Outlay Budget Request"/>
      <sheetName val="General Fund"/>
      <sheetName val="Sales Tax Funds"/>
      <sheetName val="Debt Service Funds"/>
      <sheetName val="capital projects fund"/>
      <sheetName val="Utility Fund"/>
      <sheetName val="Utility Fund - analysis by dept"/>
      <sheetName val="Estimating Schedules-Divider "/>
      <sheetName val="Estimating Schedule - GF"/>
      <sheetName val="Estimating Schedule - SRF"/>
      <sheetName val="Estimating Schedule - DSF"/>
      <sheetName val="Estimating Schedule - UF"/>
      <sheetName val="Sheet1"/>
    </sheetNames>
    <sheetDataSet>
      <sheetData sheetId="0">
        <row r="16">
          <cell r="A16" t="str">
            <v>TOWN OF PORT BARRE, LOUISIANA</v>
          </cell>
        </row>
        <row r="20">
          <cell r="A20" t="str">
            <v>AMENDED  BUDGET</v>
          </cell>
        </row>
        <row r="22">
          <cell r="A22" t="str">
            <v>YEAR ENDING SEPTEMBER 30, 2013</v>
          </cell>
        </row>
        <row r="25">
          <cell r="A25" t="str">
            <v>AND THE</v>
          </cell>
        </row>
        <row r="27">
          <cell r="A27" t="str">
            <v>ORIGINAL  BUDGET</v>
          </cell>
        </row>
        <row r="29">
          <cell r="A29" t="str">
            <v>YEAR ENDING SEPTEMBER 30, 2014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ation "/>
      <sheetName val="Adoption Documents"/>
      <sheetName val="Adoption resolution-line item"/>
      <sheetName val="Budget Ordinances"/>
      <sheetName val="Title Page"/>
      <sheetName val="Table of Contents "/>
      <sheetName val="Budget Message"/>
      <sheetName val="Consolidated Budget"/>
      <sheetName val="Capital Outlay Budget Request"/>
      <sheetName val="General Fund"/>
      <sheetName val="Sales Tax Fund"/>
      <sheetName val="Debt Service Funds"/>
      <sheetName val="capital projects fund"/>
      <sheetName val="Utility Fund"/>
      <sheetName val="Utility Fund - analysis by dept"/>
      <sheetName val="Salaries"/>
      <sheetName val="Transfers from(to)"/>
      <sheetName val="utility rate compliance"/>
      <sheetName val="Utility-per customer"/>
    </sheetNames>
    <sheetDataSet>
      <sheetData sheetId="0">
        <row r="2">
          <cell r="C2" t="str">
            <v xml:space="preserve">                             NOTICE 1</v>
          </cell>
        </row>
        <row r="7">
          <cell r="C7" t="str">
            <v xml:space="preserve">     In accordance with Act 186 of 1984, the public is hereby</v>
          </cell>
        </row>
        <row r="8">
          <cell r="C8" t="str">
            <v>notified that the proposed budget of the Town of Church Point for the</v>
          </cell>
        </row>
        <row r="9">
          <cell r="C9" t="str">
            <v>fiscal year ending September 30, 2009 is available for inspection</v>
          </cell>
        </row>
        <row r="10">
          <cell r="C10" t="str">
            <v>at Town Hall, Church Point, Louisiana between the hours of 8:00 a.m.</v>
          </cell>
        </row>
        <row r="11">
          <cell r="C11" t="str">
            <v>and 5:00 p.m., Monday thru Friday.</v>
          </cell>
        </row>
        <row r="12">
          <cell r="C12" t="str">
            <v xml:space="preserve">     Also, the public is hereby notified that a public hearing will</v>
          </cell>
        </row>
        <row r="13">
          <cell r="C13" t="str">
            <v>be held on September 22, 2008 at 6:00 p.m. at the Town Hall,</v>
          </cell>
        </row>
        <row r="14">
          <cell r="C14" t="str">
            <v>Church Point, Louisiana.  The purpose of this public hearing is to</v>
          </cell>
        </row>
        <row r="15">
          <cell r="C15" t="str">
            <v>allow citizens to provide comments and opinions on the proposed</v>
          </cell>
        </row>
        <row r="16">
          <cell r="C16" t="str">
            <v>budget of the Town of Church Point, Louisiana for the fiscal year</v>
          </cell>
        </row>
        <row r="17">
          <cell r="C17" t="str">
            <v>beginning October 1, 2008 and ending September 30, 2009.</v>
          </cell>
        </row>
        <row r="18">
          <cell r="C18" t="str">
            <v xml:space="preserve">     Additionally proposed amendments to the budget of the Town of</v>
          </cell>
        </row>
        <row r="19">
          <cell r="C19" t="str">
            <v>Church Point for the fiscal year ending September 30, 2008 may be</v>
          </cell>
        </row>
        <row r="20">
          <cell r="C20" t="str">
            <v>considered at the public hearing to be held on September 22, 2008</v>
          </cell>
        </row>
        <row r="21">
          <cell r="C21" t="str">
            <v>at 6:00 p.m. at the Town Hall, Church Point, Louisiana.  This</v>
          </cell>
        </row>
        <row r="22">
          <cell r="C22" t="str">
            <v>proposed amended budget is shown as the estimated 2008 amounts on</v>
          </cell>
        </row>
        <row r="23">
          <cell r="C23" t="str">
            <v>the 9-30-2009 budget documents.</v>
          </cell>
        </row>
        <row r="25">
          <cell r="C25" t="str">
            <v xml:space="preserve">     The following is a summary of the Town of Church Point's amended</v>
          </cell>
        </row>
        <row r="26">
          <cell r="C26" t="str">
            <v xml:space="preserve">and proposed consolidated budgets for the years ending September 30, </v>
          </cell>
        </row>
        <row r="27">
          <cell r="C27" t="str">
            <v>2008 and 2009, respectively:</v>
          </cell>
        </row>
        <row r="29">
          <cell r="F29">
            <v>2008</v>
          </cell>
          <cell r="H29">
            <v>2009</v>
          </cell>
        </row>
        <row r="30">
          <cell r="F30" t="str">
            <v>Amended</v>
          </cell>
          <cell r="H30" t="str">
            <v>Proposed</v>
          </cell>
        </row>
        <row r="31">
          <cell r="B31" t="str">
            <v>Revenues:</v>
          </cell>
        </row>
        <row r="32">
          <cell r="B32" t="str">
            <v xml:space="preserve">  Taxes</v>
          </cell>
          <cell r="F32">
            <v>936912</v>
          </cell>
          <cell r="H32">
            <v>938000</v>
          </cell>
        </row>
        <row r="33">
          <cell r="B33" t="str">
            <v xml:space="preserve">  Licenses and permits</v>
          </cell>
          <cell r="F33">
            <v>194200</v>
          </cell>
          <cell r="H33">
            <v>193870</v>
          </cell>
        </row>
        <row r="34">
          <cell r="B34" t="str">
            <v xml:space="preserve">  Intergovernmental</v>
          </cell>
          <cell r="F34">
            <v>583063</v>
          </cell>
          <cell r="H34">
            <v>775300</v>
          </cell>
        </row>
        <row r="35">
          <cell r="B35" t="str">
            <v xml:space="preserve">  Fines and forfeits</v>
          </cell>
          <cell r="F35">
            <v>95500</v>
          </cell>
          <cell r="H35">
            <v>154800</v>
          </cell>
        </row>
        <row r="36">
          <cell r="B36" t="str">
            <v xml:space="preserve">  Utility Charges and service</v>
          </cell>
          <cell r="F36">
            <v>976030</v>
          </cell>
          <cell r="H36">
            <v>1065500</v>
          </cell>
        </row>
        <row r="37">
          <cell r="B37" t="str">
            <v xml:space="preserve">  Continuing education fund</v>
          </cell>
          <cell r="F37">
            <v>1550</v>
          </cell>
          <cell r="H37">
            <v>3500</v>
          </cell>
        </row>
        <row r="38">
          <cell r="B38" t="str">
            <v xml:space="preserve">  Interest</v>
          </cell>
          <cell r="F38">
            <v>7606</v>
          </cell>
          <cell r="H38">
            <v>5450</v>
          </cell>
        </row>
        <row r="39">
          <cell r="B39" t="str">
            <v xml:space="preserve">  Miscellaneous</v>
          </cell>
          <cell r="F39">
            <v>82921</v>
          </cell>
          <cell r="H39">
            <v>151050</v>
          </cell>
        </row>
        <row r="40">
          <cell r="B40" t="str">
            <v xml:space="preserve">     Total revenues</v>
          </cell>
          <cell r="F40">
            <v>2877782</v>
          </cell>
          <cell r="H40">
            <v>3287470</v>
          </cell>
        </row>
        <row r="42">
          <cell r="B42" t="str">
            <v>Expenditures:</v>
          </cell>
        </row>
        <row r="43">
          <cell r="B43" t="str">
            <v xml:space="preserve">  General government</v>
          </cell>
          <cell r="F43">
            <v>407876</v>
          </cell>
          <cell r="H43">
            <v>422499</v>
          </cell>
        </row>
        <row r="44">
          <cell r="B44" t="str">
            <v xml:space="preserve">  Public safety - police</v>
          </cell>
          <cell r="F44">
            <v>584680</v>
          </cell>
          <cell r="H44">
            <v>601817</v>
          </cell>
        </row>
        <row r="45">
          <cell r="B45" t="str">
            <v xml:space="preserve">                         - fire</v>
          </cell>
          <cell r="F45">
            <v>0</v>
          </cell>
          <cell r="H45">
            <v>0</v>
          </cell>
        </row>
        <row r="46">
          <cell r="B46" t="str">
            <v xml:space="preserve">  Highways and streets</v>
          </cell>
          <cell r="F46">
            <v>469950</v>
          </cell>
          <cell r="H46">
            <v>381200</v>
          </cell>
        </row>
        <row r="47">
          <cell r="B47" t="str">
            <v xml:space="preserve">  Culture and recreation</v>
          </cell>
          <cell r="F47">
            <v>56423</v>
          </cell>
          <cell r="H47">
            <v>43625</v>
          </cell>
        </row>
        <row r="48">
          <cell r="B48" t="str">
            <v xml:space="preserve">  Utility Fund expenses</v>
          </cell>
          <cell r="F48">
            <v>895320</v>
          </cell>
          <cell r="H48">
            <v>905506</v>
          </cell>
        </row>
        <row r="49">
          <cell r="B49" t="str">
            <v xml:space="preserve">  Debt service</v>
          </cell>
          <cell r="F49">
            <v>116859</v>
          </cell>
          <cell r="H49">
            <v>106717</v>
          </cell>
        </row>
        <row r="50">
          <cell r="B50" t="str">
            <v xml:space="preserve">  Capital outlay </v>
          </cell>
          <cell r="F50">
            <v>596981</v>
          </cell>
          <cell r="H50">
            <v>739205</v>
          </cell>
        </row>
        <row r="51">
          <cell r="B51" t="str">
            <v xml:space="preserve">      Total expenditures</v>
          </cell>
          <cell r="F51">
            <v>3128089</v>
          </cell>
          <cell r="H51">
            <v>3200569</v>
          </cell>
        </row>
        <row r="53">
          <cell r="B53" t="str">
            <v xml:space="preserve">      Operating income (loss)</v>
          </cell>
          <cell r="F53">
            <v>-250307</v>
          </cell>
          <cell r="H53">
            <v>86901</v>
          </cell>
        </row>
        <row r="58">
          <cell r="F58">
            <v>2008</v>
          </cell>
          <cell r="H58">
            <v>2009</v>
          </cell>
        </row>
        <row r="59">
          <cell r="F59" t="str">
            <v>Amended</v>
          </cell>
          <cell r="H59" t="str">
            <v>Proposed</v>
          </cell>
        </row>
        <row r="60">
          <cell r="B60" t="str">
            <v>Nonoperating revenues (expenses):</v>
          </cell>
        </row>
        <row r="61">
          <cell r="B61" t="str">
            <v xml:space="preserve">  Interest income</v>
          </cell>
          <cell r="F61">
            <v>27500</v>
          </cell>
          <cell r="H61">
            <v>27500</v>
          </cell>
        </row>
        <row r="62">
          <cell r="B62" t="str">
            <v xml:space="preserve">  Administrative expenses</v>
          </cell>
          <cell r="F62">
            <v>-8950</v>
          </cell>
          <cell r="H62">
            <v>-8350</v>
          </cell>
        </row>
        <row r="63">
          <cell r="B63" t="str">
            <v xml:space="preserve">  Interest and fiscal charges</v>
          </cell>
          <cell r="F63">
            <v>-108168</v>
          </cell>
          <cell r="H63">
            <v>-101922</v>
          </cell>
        </row>
        <row r="64">
          <cell r="B64" t="str">
            <v xml:space="preserve">      Total nonoperting expenses </v>
          </cell>
          <cell r="F64">
            <v>-89618</v>
          </cell>
          <cell r="H64">
            <v>-82772</v>
          </cell>
        </row>
        <row r="66">
          <cell r="B66" t="str">
            <v xml:space="preserve">      Income(Loss) before operating transfers</v>
          </cell>
          <cell r="F66">
            <v>-339925</v>
          </cell>
          <cell r="H66">
            <v>4129</v>
          </cell>
        </row>
        <row r="68">
          <cell r="B68" t="str">
            <v>Other financing sources (uses):</v>
          </cell>
        </row>
        <row r="69">
          <cell r="B69" t="str">
            <v xml:space="preserve">  Proceeds from issuance of debt</v>
          </cell>
          <cell r="F69">
            <v>0</v>
          </cell>
          <cell r="H69">
            <v>23000</v>
          </cell>
        </row>
        <row r="70">
          <cell r="B70" t="str">
            <v xml:space="preserve">  Operating transfers in</v>
          </cell>
          <cell r="F70">
            <v>485500</v>
          </cell>
          <cell r="H70">
            <v>316000</v>
          </cell>
        </row>
        <row r="71">
          <cell r="B71" t="str">
            <v xml:space="preserve">  Operating transfers out</v>
          </cell>
          <cell r="F71">
            <v>-485500</v>
          </cell>
          <cell r="H71">
            <v>-316000</v>
          </cell>
        </row>
        <row r="72">
          <cell r="B72" t="str">
            <v xml:space="preserve">      Total other financing sources (uses)</v>
          </cell>
          <cell r="F72">
            <v>0</v>
          </cell>
          <cell r="H72">
            <v>23000</v>
          </cell>
        </row>
        <row r="74">
          <cell r="B74" t="str">
            <v xml:space="preserve">      Excess(Deficiency) of revenues and</v>
          </cell>
        </row>
        <row r="75">
          <cell r="B75" t="str">
            <v xml:space="preserve">        other sources over expenditures</v>
          </cell>
        </row>
        <row r="76">
          <cell r="B76" t="str">
            <v xml:space="preserve">        and other uses</v>
          </cell>
          <cell r="F76">
            <v>-339925</v>
          </cell>
          <cell r="H76">
            <v>27129</v>
          </cell>
        </row>
        <row r="78">
          <cell r="B78" t="str">
            <v>Capital contributions</v>
          </cell>
          <cell r="F78">
            <v>0</v>
          </cell>
          <cell r="H78">
            <v>0</v>
          </cell>
        </row>
        <row r="80">
          <cell r="A80" t="str">
            <v xml:space="preserve">      Excess (deficiency) of revenues </v>
          </cell>
        </row>
        <row r="81">
          <cell r="A81" t="str">
            <v xml:space="preserve">        and other sources over expenditures &amp;</v>
          </cell>
        </row>
        <row r="82">
          <cell r="A82" t="str">
            <v xml:space="preserve">        other uses after CAPITAL CONTRIBUTIONS</v>
          </cell>
          <cell r="F82">
            <v>-339925</v>
          </cell>
          <cell r="H82">
            <v>27129</v>
          </cell>
        </row>
        <row r="84">
          <cell r="B84" t="str">
            <v>Fund Equity, beginning</v>
          </cell>
          <cell r="F84">
            <v>5023901.3600000003</v>
          </cell>
          <cell r="H84">
            <v>4683976.3600000003</v>
          </cell>
        </row>
        <row r="86">
          <cell r="B86" t="str">
            <v>Fund Equity, ending</v>
          </cell>
          <cell r="F86">
            <v>4683976.3600000003</v>
          </cell>
          <cell r="H86">
            <v>4711105.3600000003</v>
          </cell>
        </row>
        <row r="90">
          <cell r="B90" t="str">
            <v xml:space="preserve">    A Special Meeting will follow the public hearing in order to consider adoption of resolutions to</v>
          </cell>
        </row>
        <row r="91">
          <cell r="B91" t="str">
            <v>amend the 9/30/08 budget and adopt the year ended 9/30/2009 operating budget.</v>
          </cell>
        </row>
        <row r="95">
          <cell r="B95" t="str">
            <v xml:space="preserve">                                        _________________________</v>
          </cell>
          <cell r="D95" t="str">
            <v>|s| Roger Boudreaux</v>
          </cell>
        </row>
        <row r="96">
          <cell r="B96" t="str">
            <v xml:space="preserve"> </v>
          </cell>
          <cell r="D96" t="str">
            <v xml:space="preserve">  Roger Boudreaux</v>
          </cell>
        </row>
        <row r="97">
          <cell r="B97" t="str">
            <v xml:space="preserve">                                                    Mayor</v>
          </cell>
        </row>
        <row r="102">
          <cell r="B102" t="str">
            <v xml:space="preserve">                                        _________________________</v>
          </cell>
          <cell r="D102" t="str">
            <v>|s|Charles Labbe</v>
          </cell>
        </row>
        <row r="103">
          <cell r="B103" t="str">
            <v xml:space="preserve">                                       </v>
          </cell>
          <cell r="D103" t="str">
            <v>Charles Labbe</v>
          </cell>
        </row>
        <row r="104">
          <cell r="D104" t="str">
            <v>Town Clerk</v>
          </cell>
        </row>
        <row r="110">
          <cell r="B110" t="str">
            <v xml:space="preserve">  Instructions:</v>
          </cell>
        </row>
        <row r="111">
          <cell r="B111" t="str">
            <v xml:space="preserve">    - Publish at least 10 days prior to hearing.</v>
          </cell>
        </row>
        <row r="248">
          <cell r="B248"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 Table of contents"/>
      <sheetName val=" Budget message"/>
      <sheetName val="Capital Outlay Budget Request"/>
      <sheetName val="General Fund"/>
      <sheetName val="Sales Tax Funds"/>
      <sheetName val="Debt Service Funds"/>
      <sheetName val="capital projects fund"/>
      <sheetName val="Utility Fund"/>
      <sheetName val="Utility Fund - analysis by dept"/>
    </sheetNames>
    <sheetDataSet>
      <sheetData sheetId="0">
        <row r="10">
          <cell r="B10" t="str">
            <v xml:space="preserve">  DRAFT TO BE USED FOR ACCUMULATING INFORMATION FOR</v>
          </cell>
        </row>
        <row r="11">
          <cell r="B11" t="str">
            <v xml:space="preserve">      9/30/07 AMENDED BUDGET AND 9/30/08 BUDGET</v>
          </cell>
        </row>
        <row r="16">
          <cell r="A16" t="str">
            <v>TOWN OF PORT BARRE, LOUISIANA</v>
          </cell>
        </row>
        <row r="20">
          <cell r="A20" t="str">
            <v>AMENDED  BUDGET</v>
          </cell>
        </row>
        <row r="22">
          <cell r="A22" t="str">
            <v>YEAR ENDING SEPTEMBER 30, 2007</v>
          </cell>
        </row>
        <row r="24">
          <cell r="A24" t="str">
            <v>AND THE</v>
          </cell>
        </row>
        <row r="26">
          <cell r="A26" t="str">
            <v>ORIGINAL  BUDGET</v>
          </cell>
        </row>
        <row r="28">
          <cell r="A28" t="str">
            <v>YEAR ENDING SEPTEMBER 30, 2008</v>
          </cell>
        </row>
      </sheetData>
      <sheetData sheetId="1">
        <row r="2">
          <cell r="E2" t="str">
            <v>BUDGET</v>
          </cell>
        </row>
        <row r="3">
          <cell r="D3" t="str">
            <v xml:space="preserve">  Year Ending September 30, 2008</v>
          </cell>
        </row>
        <row r="6">
          <cell r="D6" t="str">
            <v xml:space="preserve">         TABLE OF CONTENTS</v>
          </cell>
        </row>
        <row r="8">
          <cell r="I8" t="str">
            <v>Page</v>
          </cell>
        </row>
        <row r="10">
          <cell r="C10" t="str">
            <v>Budget message</v>
          </cell>
          <cell r="I10" t="str">
            <v>-</v>
          </cell>
        </row>
        <row r="12">
          <cell r="C12" t="str">
            <v>Consolidated budget</v>
          </cell>
          <cell r="I12" t="str">
            <v>1</v>
          </cell>
        </row>
        <row r="14">
          <cell r="C14" t="str">
            <v>Capital outlay budget request</v>
          </cell>
          <cell r="I14" t="str">
            <v>2</v>
          </cell>
        </row>
        <row r="16">
          <cell r="C16" t="str">
            <v>General Fund -</v>
          </cell>
        </row>
        <row r="17">
          <cell r="C17" t="str">
            <v xml:space="preserve">    Budget</v>
          </cell>
          <cell r="I17" t="str">
            <v>3</v>
          </cell>
        </row>
        <row r="18">
          <cell r="C18" t="str">
            <v xml:space="preserve">    Revenue summary</v>
          </cell>
          <cell r="I18" t="str">
            <v>4</v>
          </cell>
        </row>
        <row r="19">
          <cell r="C19" t="str">
            <v xml:space="preserve">    Summary of expenditures </v>
          </cell>
          <cell r="I19" t="str">
            <v>5 - 6</v>
          </cell>
        </row>
        <row r="21">
          <cell r="C21" t="str">
            <v>Special revenue funds-</v>
          </cell>
        </row>
        <row r="22">
          <cell r="C22" t="str">
            <v xml:space="preserve">  1966 and 1996 Sales Tax Funds -</v>
          </cell>
        </row>
        <row r="23">
          <cell r="C23" t="str">
            <v xml:space="preserve">    Combining statement of revenues and expenditures</v>
          </cell>
          <cell r="I23" t="str">
            <v>7</v>
          </cell>
        </row>
        <row r="25">
          <cell r="C25" t="str">
            <v>Debt service fund -</v>
          </cell>
        </row>
        <row r="26">
          <cell r="C26" t="str">
            <v xml:space="preserve">  Combining statement of revenues and expenditures</v>
          </cell>
          <cell r="I26" t="str">
            <v>8</v>
          </cell>
        </row>
        <row r="28">
          <cell r="C28" t="str">
            <v>Capital projects fund -</v>
          </cell>
        </row>
        <row r="29">
          <cell r="C29" t="str">
            <v xml:space="preserve">    Budget</v>
          </cell>
          <cell r="I29" t="str">
            <v>9</v>
          </cell>
        </row>
        <row r="31">
          <cell r="C31" t="str">
            <v>Utility Fund (combined utility -</v>
          </cell>
        </row>
        <row r="32">
          <cell r="C32" t="str">
            <v xml:space="preserve">  gas, water, and sewer) -</v>
          </cell>
        </row>
        <row r="33">
          <cell r="C33" t="str">
            <v xml:space="preserve">    Budget</v>
          </cell>
          <cell r="I33" t="str">
            <v>10</v>
          </cell>
        </row>
        <row r="34">
          <cell r="C34" t="str">
            <v xml:space="preserve">    Departmental utility fund analysis</v>
          </cell>
          <cell r="I34" t="str">
            <v>11</v>
          </cell>
        </row>
        <row r="171">
          <cell r="B171" t="str">
            <v>|::</v>
          </cell>
        </row>
      </sheetData>
      <sheetData sheetId="2">
        <row r="3">
          <cell r="C3" t="str">
            <v xml:space="preserve">                 TOWN OF PORT BARRE, LOUISIANA</v>
          </cell>
        </row>
        <row r="5">
          <cell r="D5" t="str">
            <v xml:space="preserve">           BUDGET MESSAGE</v>
          </cell>
        </row>
        <row r="6">
          <cell r="D6" t="str">
            <v xml:space="preserve">  Year Ending September 30, 2008</v>
          </cell>
        </row>
        <row r="9">
          <cell r="C9" t="str">
            <v xml:space="preserve">     I submit to you the budget for the fiscal year 2008, beginning</v>
          </cell>
        </row>
        <row r="10">
          <cell r="C10" t="str">
            <v>October 1, 2007.  This budget satisfies the legal requirement of</v>
          </cell>
        </row>
        <row r="11">
          <cell r="C11" t="str">
            <v>filing as set forth under R.S.  39:1316 since the consolidated</v>
          </cell>
        </row>
        <row r="12">
          <cell r="C12" t="str">
            <v>budget statement uses the uniform revenue and expenditure</v>
          </cell>
        </row>
        <row r="13">
          <cell r="C13" t="str">
            <v>classifications and includes information similar to the information</v>
          </cell>
        </row>
        <row r="14">
          <cell r="C14" t="str">
            <v>required by the form Annual Report on the Budget.  This budget</v>
          </cell>
        </row>
        <row r="15">
          <cell r="C15" t="str">
            <v>represents a continuation of present service levels.  The budget</v>
          </cell>
        </row>
        <row r="16">
          <cell r="C16" t="str">
            <v>documents attached include anticipated revenues and expenditures</v>
          </cell>
        </row>
        <row r="17">
          <cell r="C17" t="str">
            <v>for the General Fund, the Special Revenue Funds, the Debt Service</v>
          </cell>
        </row>
        <row r="18">
          <cell r="C18" t="str">
            <v xml:space="preserve">Funds, the Capital Project Fund, and the Utility Fund.  Also, attached </v>
          </cell>
        </row>
        <row r="19">
          <cell r="C19" t="str">
            <v>is a Capital Budget Outlay Request.  There are certain aspects of the</v>
          </cell>
        </row>
        <row r="20">
          <cell r="C20" t="str">
            <v>budget which are detailed below:</v>
          </cell>
        </row>
        <row r="22">
          <cell r="C22" t="str">
            <v xml:space="preserve">  ALL FUNDS:</v>
          </cell>
        </row>
        <row r="24">
          <cell r="C24" t="str">
            <v xml:space="preserve">     Revenues and expenditures have been budgeted by examining</v>
          </cell>
        </row>
        <row r="25">
          <cell r="C25" t="str">
            <v>each line item and basing the 2008 budget on the approximate amounts</v>
          </cell>
        </row>
        <row r="26">
          <cell r="C26" t="str">
            <v xml:space="preserve">for the two (2) prior years, taking into consideration economic factors  </v>
          </cell>
        </row>
        <row r="27">
          <cell r="C27" t="str">
            <v xml:space="preserve">and known changes of facts.  The 2008 budget reflects salary increases </v>
          </cell>
        </row>
        <row r="28">
          <cell r="C28" t="str">
            <v>based on merit for some employees and approx. a 5% increase for all others</v>
          </cell>
        </row>
        <row r="29">
          <cell r="C29" t="str">
            <v xml:space="preserve">effective 10/01/07.  Utility consumption rates are projected to </v>
          </cell>
        </row>
        <row r="30">
          <cell r="C30" t="str">
            <v>increase during 2008.  The base rate for gas fuel adjustment charges will be</v>
          </cell>
        </row>
        <row r="31">
          <cell r="C31" t="str">
            <v>decreased from $.90 per MCF to $.80 per MCF.   Gas consumption rates</v>
          </cell>
        </row>
        <row r="32">
          <cell r="C32" t="str">
            <v>over the 500 cubic foot minimum are not expected to change.  Water and</v>
          </cell>
        </row>
        <row r="33">
          <cell r="C33" t="str">
            <v>sewer consumption rate minimum will remain at 2,500 gallons.  Water and</v>
          </cell>
        </row>
        <row r="34">
          <cell r="C34" t="str">
            <v xml:space="preserve">sewer consumption rates over the 2,500 gallon minimum are expected to </v>
          </cell>
        </row>
        <row r="35">
          <cell r="C35" t="str">
            <v>change for the year end 9/30/2008, effective 10/01/07, based on the following--</v>
          </cell>
        </row>
        <row r="39">
          <cell r="D39" t="str">
            <v>W  A  T  E  R</v>
          </cell>
          <cell r="G39" t="str">
            <v>S E W E R</v>
          </cell>
        </row>
        <row r="40">
          <cell r="D40" t="str">
            <v>From</v>
          </cell>
          <cell r="E40" t="str">
            <v>To</v>
          </cell>
          <cell r="G40" t="str">
            <v>From</v>
          </cell>
          <cell r="H40" t="str">
            <v>To</v>
          </cell>
        </row>
        <row r="41">
          <cell r="C41" t="str">
            <v>In Town</v>
          </cell>
          <cell r="D41">
            <v>2.5</v>
          </cell>
          <cell r="E41">
            <v>2.65</v>
          </cell>
          <cell r="G41">
            <v>2.7</v>
          </cell>
          <cell r="H41">
            <v>2.85</v>
          </cell>
        </row>
        <row r="42">
          <cell r="C42" t="str">
            <v>Out of Town</v>
          </cell>
          <cell r="D42">
            <v>2.8</v>
          </cell>
          <cell r="E42">
            <v>2.95</v>
          </cell>
          <cell r="G42" t="str">
            <v>n/a</v>
          </cell>
          <cell r="H42" t="str">
            <v>n/a</v>
          </cell>
        </row>
        <row r="44">
          <cell r="C44" t="str">
            <v xml:space="preserve">     The 2008 budget includes capital outlay expenditures totaling </v>
          </cell>
        </row>
        <row r="45">
          <cell r="C45" t="str">
            <v>$178,741 as detailed on the capital outlay budget request (page 2)</v>
          </cell>
        </row>
        <row r="46">
          <cell r="C46" t="str">
            <v>of the 9/30/08 budget.</v>
          </cell>
        </row>
        <row r="48">
          <cell r="C48" t="str">
            <v xml:space="preserve">     I have attempted to present a budget to you in a fashion and to a</v>
          </cell>
        </row>
        <row r="49">
          <cell r="C49" t="str">
            <v>detail that will be helpful in your formulating a financial plan for the</v>
          </cell>
        </row>
        <row r="50">
          <cell r="C50" t="str">
            <v>ensuing budget year.  I will be available for any information or help</v>
          </cell>
        </row>
        <row r="51">
          <cell r="C51" t="str">
            <v xml:space="preserve">that you may need in interpreting specific items of the budget.  </v>
          </cell>
        </row>
        <row r="52">
          <cell r="C52" t="str">
            <v>Additionally should your consideration and the public hearing result</v>
          </cell>
        </row>
        <row r="53">
          <cell r="C53" t="str">
            <v>in adjustments to this document, I am prepared to incorporate those</v>
          </cell>
        </row>
        <row r="54">
          <cell r="C54" t="str">
            <v>into this document.</v>
          </cell>
        </row>
        <row r="56">
          <cell r="C56" t="str">
            <v xml:space="preserve">                                     Sincerely,</v>
          </cell>
        </row>
        <row r="59">
          <cell r="C59" t="str">
            <v xml:space="preserve">                                     Toria Comeaux</v>
          </cell>
          <cell r="D59" t="str">
            <v xml:space="preserve">        Toria V. Comeaux</v>
          </cell>
        </row>
        <row r="60">
          <cell r="C60" t="str">
            <v xml:space="preserve">                                     Town Clerk</v>
          </cell>
        </row>
        <row r="197">
          <cell r="B197" t="str">
            <v>|::</v>
          </cell>
        </row>
      </sheetData>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Ordinances"/>
      <sheetName val="Title Page"/>
      <sheetName val=" Table of contents"/>
      <sheetName val=" Budget message"/>
      <sheetName val="Capital Outlay Budget Request"/>
      <sheetName val="General Fund"/>
      <sheetName val="Sales Tax Funds"/>
      <sheetName val="Debt Service Funds"/>
      <sheetName val="Utility Fund"/>
      <sheetName val="Utility Fund - analysis by dept"/>
      <sheetName val="Estimating Schedules-Divider "/>
      <sheetName val="Estimating Schedule - GF"/>
      <sheetName val="Estimating Schedule - SRF"/>
      <sheetName val="Estimating Schedule - DSF"/>
      <sheetName val="Estimating Schedule - UF"/>
      <sheetName val="capital projects fund"/>
      <sheetName val="Estimating Schedule - CPF"/>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sheetData sheetId="12">
        <row r="47">
          <cell r="M47">
            <v>0</v>
          </cell>
        </row>
      </sheetData>
      <sheetData sheetId="13"/>
      <sheetData sheetId="14">
        <row r="22">
          <cell r="Z22">
            <v>0</v>
          </cell>
        </row>
        <row r="24">
          <cell r="Z24">
            <v>0</v>
          </cell>
        </row>
        <row r="25">
          <cell r="Z25">
            <v>0</v>
          </cell>
        </row>
        <row r="26">
          <cell r="Z26">
            <v>0</v>
          </cell>
        </row>
        <row r="40">
          <cell r="Z40">
            <v>0</v>
          </cell>
        </row>
        <row r="41">
          <cell r="Z41">
            <v>0</v>
          </cell>
        </row>
        <row r="42">
          <cell r="Z42">
            <v>0</v>
          </cell>
        </row>
      </sheetData>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J776"/>
  <sheetViews>
    <sheetView showGridLines="0" view="pageBreakPreview" zoomScale="110" zoomScaleNormal="70" zoomScaleSheetLayoutView="110" workbookViewId="0">
      <selection activeCell="C7" sqref="C7"/>
    </sheetView>
  </sheetViews>
  <sheetFormatPr defaultColWidth="12.77734375" defaultRowHeight="15.75" x14ac:dyDescent="0.25"/>
  <cols>
    <col min="1" max="1" width="2.33203125" style="258" customWidth="1"/>
    <col min="2" max="5" width="12.77734375" style="258"/>
    <col min="6" max="6" width="2.44140625" style="258" customWidth="1"/>
    <col min="7" max="7" width="12.77734375" style="259"/>
    <col min="8" max="8" width="21.6640625" style="258" customWidth="1"/>
    <col min="9" max="9" width="11.5546875" style="258" customWidth="1"/>
    <col min="10" max="10" width="13.77734375" style="258" customWidth="1"/>
    <col min="11" max="15" width="12.77734375" style="258"/>
    <col min="16" max="16" width="9.77734375" style="258" customWidth="1"/>
    <col min="17" max="19" width="12.77734375" style="258"/>
    <col min="20" max="20" width="62.77734375" style="258" customWidth="1"/>
    <col min="21" max="16384" width="12.77734375" style="258"/>
  </cols>
  <sheetData>
    <row r="1" spans="1:8" ht="22.5" x14ac:dyDescent="0.3">
      <c r="A1" s="619" t="s">
        <v>411</v>
      </c>
      <c r="B1" s="619"/>
      <c r="C1" s="619"/>
      <c r="D1" s="619"/>
      <c r="E1" s="619"/>
      <c r="F1" s="619"/>
      <c r="G1" s="619"/>
      <c r="H1" s="619"/>
    </row>
    <row r="3" spans="1:8" x14ac:dyDescent="0.25">
      <c r="A3" s="620" t="s">
        <v>544</v>
      </c>
      <c r="B3" s="620"/>
      <c r="C3" s="620"/>
      <c r="D3" s="620"/>
      <c r="E3" s="620"/>
      <c r="F3" s="620"/>
      <c r="G3" s="620"/>
      <c r="H3" s="620"/>
    </row>
    <row r="4" spans="1:8" x14ac:dyDescent="0.25">
      <c r="A4" s="260"/>
      <c r="B4" s="260"/>
      <c r="C4" s="260"/>
      <c r="D4" s="260"/>
      <c r="E4" s="260"/>
      <c r="F4" s="260"/>
      <c r="G4" s="261"/>
      <c r="H4" s="260"/>
    </row>
    <row r="5" spans="1:8" x14ac:dyDescent="0.25">
      <c r="A5" s="260"/>
      <c r="B5" s="260"/>
      <c r="C5" s="260"/>
      <c r="D5" s="260"/>
      <c r="E5" s="260"/>
      <c r="F5" s="260"/>
      <c r="G5" s="261"/>
      <c r="H5" s="260"/>
    </row>
    <row r="6" spans="1:8" ht="18.75" x14ac:dyDescent="0.3">
      <c r="A6" s="262" t="s">
        <v>412</v>
      </c>
      <c r="B6" s="260"/>
      <c r="C6" s="260"/>
      <c r="D6" s="260"/>
      <c r="E6" s="260"/>
      <c r="F6" s="260"/>
      <c r="G6" s="261"/>
      <c r="H6" s="260"/>
    </row>
    <row r="7" spans="1:8" x14ac:dyDescent="0.25">
      <c r="A7" s="260"/>
      <c r="B7" s="260"/>
      <c r="C7" s="260"/>
      <c r="D7" s="260"/>
      <c r="E7" s="260"/>
      <c r="F7" s="260"/>
      <c r="G7" s="261"/>
      <c r="H7" s="260"/>
    </row>
    <row r="10" spans="1:8" x14ac:dyDescent="0.25">
      <c r="B10" s="258" t="s">
        <v>413</v>
      </c>
    </row>
    <row r="11" spans="1:8" x14ac:dyDescent="0.25">
      <c r="B11" s="258" t="s">
        <v>414</v>
      </c>
    </row>
    <row r="13" spans="1:8" x14ac:dyDescent="0.25">
      <c r="B13" s="258" t="s">
        <v>415</v>
      </c>
    </row>
    <row r="14" spans="1:8" x14ac:dyDescent="0.25">
      <c r="B14" s="258" t="s">
        <v>545</v>
      </c>
    </row>
    <row r="16" spans="1:8" x14ac:dyDescent="0.25">
      <c r="B16" s="258" t="s">
        <v>416</v>
      </c>
    </row>
    <row r="17" spans="2:4" x14ac:dyDescent="0.25">
      <c r="B17" s="258" t="s">
        <v>417</v>
      </c>
    </row>
    <row r="19" spans="2:4" x14ac:dyDescent="0.25">
      <c r="B19" s="258" t="s">
        <v>418</v>
      </c>
    </row>
    <row r="20" spans="2:4" x14ac:dyDescent="0.25">
      <c r="B20" s="263" t="s">
        <v>546</v>
      </c>
    </row>
    <row r="21" spans="2:4" x14ac:dyDescent="0.25">
      <c r="B21" s="258" t="s">
        <v>419</v>
      </c>
    </row>
    <row r="23" spans="2:4" x14ac:dyDescent="0.25">
      <c r="B23" s="258" t="s">
        <v>420</v>
      </c>
    </row>
    <row r="24" spans="2:4" x14ac:dyDescent="0.25">
      <c r="B24" s="258" t="s">
        <v>547</v>
      </c>
    </row>
    <row r="25" spans="2:4" x14ac:dyDescent="0.25">
      <c r="B25" s="258" t="s">
        <v>421</v>
      </c>
    </row>
    <row r="27" spans="2:4" x14ac:dyDescent="0.25">
      <c r="B27" s="258" t="s">
        <v>422</v>
      </c>
    </row>
    <row r="28" spans="2:4" x14ac:dyDescent="0.25">
      <c r="B28" s="258" t="s">
        <v>423</v>
      </c>
    </row>
    <row r="29" spans="2:4" x14ac:dyDescent="0.25">
      <c r="B29" s="258" t="s">
        <v>424</v>
      </c>
    </row>
    <row r="31" spans="2:4" x14ac:dyDescent="0.25">
      <c r="B31" s="258" t="s">
        <v>548</v>
      </c>
    </row>
    <row r="32" spans="2:4" x14ac:dyDescent="0.25">
      <c r="B32" s="264" t="s">
        <v>425</v>
      </c>
      <c r="C32" s="264"/>
      <c r="D32" s="264"/>
    </row>
    <row r="33" spans="1:8" x14ac:dyDescent="0.25">
      <c r="B33" s="618" t="s">
        <v>437</v>
      </c>
      <c r="C33" s="618"/>
      <c r="D33" s="618"/>
      <c r="E33" s="618"/>
      <c r="F33" s="618"/>
      <c r="G33" s="618"/>
      <c r="H33" s="618"/>
    </row>
    <row r="34" spans="1:8" x14ac:dyDescent="0.25">
      <c r="B34" s="618"/>
      <c r="C34" s="618"/>
      <c r="D34" s="618"/>
      <c r="E34" s="618"/>
      <c r="F34" s="618"/>
      <c r="G34" s="618"/>
      <c r="H34" s="618"/>
    </row>
    <row r="35" spans="1:8" x14ac:dyDescent="0.25">
      <c r="B35" s="618"/>
      <c r="C35" s="618"/>
      <c r="D35" s="618"/>
      <c r="E35" s="618"/>
      <c r="F35" s="618"/>
      <c r="G35" s="618"/>
      <c r="H35" s="618"/>
    </row>
    <row r="36" spans="1:8" x14ac:dyDescent="0.25">
      <c r="B36" s="618"/>
      <c r="C36" s="618"/>
      <c r="D36" s="618"/>
      <c r="E36" s="618"/>
      <c r="F36" s="618"/>
      <c r="G36" s="618"/>
      <c r="H36" s="618"/>
    </row>
    <row r="37" spans="1:8" x14ac:dyDescent="0.25">
      <c r="B37" s="618"/>
      <c r="C37" s="618"/>
      <c r="D37" s="618"/>
      <c r="E37" s="618"/>
      <c r="F37" s="618"/>
      <c r="G37" s="618"/>
      <c r="H37" s="618"/>
    </row>
    <row r="38" spans="1:8" x14ac:dyDescent="0.25">
      <c r="B38" s="618"/>
      <c r="C38" s="618"/>
      <c r="D38" s="618"/>
      <c r="E38" s="618"/>
      <c r="F38" s="618"/>
      <c r="G38" s="618"/>
      <c r="H38" s="618"/>
    </row>
    <row r="39" spans="1:8" x14ac:dyDescent="0.25">
      <c r="B39" s="264"/>
      <c r="C39" s="264"/>
      <c r="D39" s="264"/>
    </row>
    <row r="40" spans="1:8" x14ac:dyDescent="0.25">
      <c r="B40" s="264" t="s">
        <v>436</v>
      </c>
      <c r="C40" s="264"/>
      <c r="D40" s="264"/>
    </row>
    <row r="41" spans="1:8" x14ac:dyDescent="0.25">
      <c r="B41" s="264" t="s">
        <v>549</v>
      </c>
      <c r="C41" s="264"/>
      <c r="D41" s="264"/>
    </row>
    <row r="42" spans="1:8" x14ac:dyDescent="0.25">
      <c r="B42" s="264"/>
      <c r="C42" s="264"/>
      <c r="D42" s="264"/>
    </row>
    <row r="43" spans="1:8" x14ac:dyDescent="0.25">
      <c r="B43" s="264"/>
      <c r="C43" s="264"/>
      <c r="D43" s="264"/>
    </row>
    <row r="44" spans="1:8" x14ac:dyDescent="0.25">
      <c r="A44" s="258" t="s">
        <v>426</v>
      </c>
      <c r="B44" s="264"/>
      <c r="C44" s="264"/>
      <c r="D44" s="264"/>
    </row>
    <row r="45" spans="1:8" x14ac:dyDescent="0.25">
      <c r="B45" s="264"/>
      <c r="C45" s="264"/>
      <c r="D45" s="264"/>
    </row>
    <row r="46" spans="1:8" x14ac:dyDescent="0.25">
      <c r="B46" s="264" t="s">
        <v>427</v>
      </c>
      <c r="C46" s="264"/>
      <c r="D46" s="264"/>
    </row>
    <row r="47" spans="1:8" x14ac:dyDescent="0.25">
      <c r="B47" s="264"/>
      <c r="C47" s="264"/>
      <c r="D47" s="264"/>
    </row>
    <row r="48" spans="1:8" x14ac:dyDescent="0.25">
      <c r="B48" s="264" t="s">
        <v>428</v>
      </c>
      <c r="C48" s="264"/>
      <c r="D48" s="264"/>
    </row>
    <row r="49" spans="1:8" x14ac:dyDescent="0.25">
      <c r="B49" s="264"/>
      <c r="C49" s="264"/>
      <c r="D49" s="264"/>
    </row>
    <row r="50" spans="1:8" x14ac:dyDescent="0.25">
      <c r="B50" s="264"/>
      <c r="C50" s="264"/>
      <c r="D50" s="264"/>
    </row>
    <row r="52" spans="1:8" x14ac:dyDescent="0.25">
      <c r="B52" s="264" t="s">
        <v>429</v>
      </c>
    </row>
    <row r="53" spans="1:8" x14ac:dyDescent="0.25">
      <c r="B53" s="264" t="s">
        <v>550</v>
      </c>
    </row>
    <row r="57" spans="1:8" x14ac:dyDescent="0.25">
      <c r="D57" s="265" t="s">
        <v>430</v>
      </c>
      <c r="E57" s="266"/>
    </row>
    <row r="59" spans="1:8" x14ac:dyDescent="0.25">
      <c r="A59" s="264" t="s">
        <v>431</v>
      </c>
    </row>
    <row r="60" spans="1:8" x14ac:dyDescent="0.25">
      <c r="B60" s="267"/>
      <c r="C60" s="267"/>
    </row>
    <row r="61" spans="1:8" x14ac:dyDescent="0.25">
      <c r="B61" s="264" t="s">
        <v>432</v>
      </c>
    </row>
    <row r="62" spans="1:8" x14ac:dyDescent="0.25">
      <c r="A62" s="268" t="s">
        <v>19</v>
      </c>
    </row>
    <row r="63" spans="1:8" ht="22.5" x14ac:dyDescent="0.3">
      <c r="A63" s="619" t="s">
        <v>411</v>
      </c>
      <c r="B63" s="619"/>
      <c r="C63" s="619"/>
      <c r="D63" s="619"/>
      <c r="E63" s="619"/>
      <c r="F63" s="619"/>
      <c r="G63" s="619"/>
      <c r="H63" s="619"/>
    </row>
    <row r="65" spans="1:8" x14ac:dyDescent="0.25">
      <c r="A65" s="620" t="s">
        <v>551</v>
      </c>
      <c r="B65" s="620"/>
      <c r="C65" s="620"/>
      <c r="D65" s="620"/>
      <c r="E65" s="620"/>
      <c r="F65" s="620"/>
      <c r="G65" s="620"/>
      <c r="H65" s="620"/>
    </row>
    <row r="66" spans="1:8" x14ac:dyDescent="0.25">
      <c r="A66" s="260"/>
      <c r="B66" s="260"/>
      <c r="C66" s="260"/>
      <c r="D66" s="260"/>
      <c r="E66" s="260"/>
      <c r="F66" s="260"/>
      <c r="G66" s="261"/>
      <c r="H66" s="260"/>
    </row>
    <row r="67" spans="1:8" x14ac:dyDescent="0.25">
      <c r="A67" s="260"/>
      <c r="B67" s="260"/>
      <c r="C67" s="260"/>
      <c r="D67" s="260"/>
      <c r="E67" s="260"/>
      <c r="F67" s="260"/>
      <c r="G67" s="261"/>
      <c r="H67" s="260"/>
    </row>
    <row r="68" spans="1:8" ht="18.75" x14ac:dyDescent="0.3">
      <c r="A68" s="262" t="s">
        <v>412</v>
      </c>
      <c r="B68" s="260"/>
      <c r="C68" s="260"/>
      <c r="D68" s="260"/>
      <c r="E68" s="260"/>
      <c r="F68" s="260"/>
      <c r="G68" s="261"/>
      <c r="H68" s="260"/>
    </row>
    <row r="69" spans="1:8" x14ac:dyDescent="0.25">
      <c r="A69" s="260"/>
      <c r="B69" s="260"/>
      <c r="C69" s="260"/>
      <c r="D69" s="260"/>
      <c r="E69" s="260"/>
      <c r="F69" s="260"/>
      <c r="G69" s="261"/>
      <c r="H69" s="260"/>
    </row>
    <row r="72" spans="1:8" x14ac:dyDescent="0.25">
      <c r="B72" s="258" t="s">
        <v>413</v>
      </c>
    </row>
    <row r="73" spans="1:8" x14ac:dyDescent="0.25">
      <c r="B73" s="258" t="s">
        <v>414</v>
      </c>
    </row>
    <row r="75" spans="1:8" x14ac:dyDescent="0.25">
      <c r="B75" s="258" t="s">
        <v>433</v>
      </c>
    </row>
    <row r="76" spans="1:8" x14ac:dyDescent="0.25">
      <c r="B76" s="258" t="s">
        <v>552</v>
      </c>
    </row>
    <row r="78" spans="1:8" x14ac:dyDescent="0.25">
      <c r="B78" s="258" t="s">
        <v>416</v>
      </c>
    </row>
    <row r="79" spans="1:8" x14ac:dyDescent="0.25">
      <c r="B79" s="258" t="s">
        <v>417</v>
      </c>
    </row>
    <row r="81" spans="2:8" x14ac:dyDescent="0.25">
      <c r="B81" s="258" t="s">
        <v>418</v>
      </c>
    </row>
    <row r="82" spans="2:8" x14ac:dyDescent="0.25">
      <c r="B82" s="263" t="s">
        <v>498</v>
      </c>
    </row>
    <row r="83" spans="2:8" x14ac:dyDescent="0.25">
      <c r="B83" s="258" t="s">
        <v>434</v>
      </c>
    </row>
    <row r="85" spans="2:8" x14ac:dyDescent="0.25">
      <c r="B85" s="258" t="s">
        <v>420</v>
      </c>
    </row>
    <row r="86" spans="2:8" x14ac:dyDescent="0.25">
      <c r="B86" s="258" t="s">
        <v>499</v>
      </c>
    </row>
    <row r="87" spans="2:8" x14ac:dyDescent="0.25">
      <c r="B87" s="258" t="s">
        <v>421</v>
      </c>
    </row>
    <row r="89" spans="2:8" x14ac:dyDescent="0.25">
      <c r="B89" s="258" t="s">
        <v>422</v>
      </c>
    </row>
    <row r="90" spans="2:8" x14ac:dyDescent="0.25">
      <c r="B90" s="258" t="s">
        <v>423</v>
      </c>
    </row>
    <row r="91" spans="2:8" x14ac:dyDescent="0.25">
      <c r="B91" s="258" t="s">
        <v>424</v>
      </c>
    </row>
    <row r="93" spans="2:8" x14ac:dyDescent="0.25">
      <c r="B93" s="258" t="s">
        <v>548</v>
      </c>
    </row>
    <row r="94" spans="2:8" x14ac:dyDescent="0.25">
      <c r="B94" s="264" t="s">
        <v>435</v>
      </c>
      <c r="C94" s="264"/>
      <c r="D94" s="264"/>
    </row>
    <row r="95" spans="2:8" x14ac:dyDescent="0.25">
      <c r="B95" s="618" t="s">
        <v>438</v>
      </c>
      <c r="C95" s="618"/>
      <c r="D95" s="618"/>
      <c r="E95" s="618"/>
      <c r="F95" s="618"/>
      <c r="G95" s="618"/>
      <c r="H95" s="618"/>
    </row>
    <row r="96" spans="2:8" x14ac:dyDescent="0.25">
      <c r="B96" s="618"/>
      <c r="C96" s="618"/>
      <c r="D96" s="618"/>
      <c r="E96" s="618"/>
      <c r="F96" s="618"/>
      <c r="G96" s="618"/>
      <c r="H96" s="618"/>
    </row>
    <row r="97" spans="1:8" x14ac:dyDescent="0.25">
      <c r="B97" s="618"/>
      <c r="C97" s="618"/>
      <c r="D97" s="618"/>
      <c r="E97" s="618"/>
      <c r="F97" s="618"/>
      <c r="G97" s="618"/>
      <c r="H97" s="618"/>
    </row>
    <row r="98" spans="1:8" x14ac:dyDescent="0.25">
      <c r="B98" s="618"/>
      <c r="C98" s="618"/>
      <c r="D98" s="618"/>
      <c r="E98" s="618"/>
      <c r="F98" s="618"/>
      <c r="G98" s="618"/>
      <c r="H98" s="618"/>
    </row>
    <row r="99" spans="1:8" x14ac:dyDescent="0.25">
      <c r="B99" s="618"/>
      <c r="C99" s="618"/>
      <c r="D99" s="618"/>
      <c r="E99" s="618"/>
      <c r="F99" s="618"/>
      <c r="G99" s="618"/>
      <c r="H99" s="618"/>
    </row>
    <row r="100" spans="1:8" x14ac:dyDescent="0.25">
      <c r="B100" s="264"/>
      <c r="C100" s="264"/>
      <c r="D100" s="264"/>
    </row>
    <row r="101" spans="1:8" x14ac:dyDescent="0.25">
      <c r="B101" s="264"/>
      <c r="C101" s="264"/>
      <c r="D101" s="264"/>
    </row>
    <row r="102" spans="1:8" x14ac:dyDescent="0.25">
      <c r="A102" s="277" t="s">
        <v>426</v>
      </c>
      <c r="B102" s="264"/>
      <c r="C102" s="264"/>
      <c r="D102" s="264"/>
    </row>
    <row r="103" spans="1:8" x14ac:dyDescent="0.25">
      <c r="B103" s="264"/>
      <c r="C103" s="264"/>
      <c r="D103" s="264"/>
    </row>
    <row r="104" spans="1:8" x14ac:dyDescent="0.25">
      <c r="B104" s="264" t="s">
        <v>427</v>
      </c>
      <c r="C104" s="264"/>
      <c r="D104" s="264"/>
    </row>
    <row r="105" spans="1:8" x14ac:dyDescent="0.25">
      <c r="B105" s="264"/>
      <c r="C105" s="264"/>
      <c r="D105" s="264"/>
    </row>
    <row r="106" spans="1:8" x14ac:dyDescent="0.25">
      <c r="B106" s="264" t="s">
        <v>428</v>
      </c>
      <c r="C106" s="264"/>
      <c r="D106" s="264"/>
    </row>
    <row r="107" spans="1:8" x14ac:dyDescent="0.25">
      <c r="B107" s="264"/>
      <c r="C107" s="264"/>
      <c r="D107" s="264"/>
    </row>
    <row r="108" spans="1:8" x14ac:dyDescent="0.25">
      <c r="B108" s="264"/>
      <c r="C108" s="264"/>
      <c r="D108" s="264"/>
    </row>
    <row r="110" spans="1:8" x14ac:dyDescent="0.25">
      <c r="B110" s="264" t="s">
        <v>429</v>
      </c>
    </row>
    <row r="111" spans="1:8" x14ac:dyDescent="0.25">
      <c r="B111" s="264" t="s">
        <v>553</v>
      </c>
    </row>
    <row r="115" spans="1:8" x14ac:dyDescent="0.25">
      <c r="D115" s="265" t="s">
        <v>430</v>
      </c>
      <c r="E115" s="266"/>
    </row>
    <row r="117" spans="1:8" x14ac:dyDescent="0.25">
      <c r="A117" s="264" t="s">
        <v>431</v>
      </c>
      <c r="D117" s="81"/>
    </row>
    <row r="118" spans="1:8" x14ac:dyDescent="0.25">
      <c r="B118" s="267"/>
      <c r="C118" s="267"/>
    </row>
    <row r="119" spans="1:8" x14ac:dyDescent="0.25">
      <c r="B119" s="264" t="s">
        <v>432</v>
      </c>
    </row>
    <row r="120" spans="1:8" x14ac:dyDescent="0.25">
      <c r="A120" s="268"/>
    </row>
    <row r="123" spans="1:8" x14ac:dyDescent="0.25">
      <c r="B123" s="269"/>
    </row>
    <row r="125" spans="1:8" x14ac:dyDescent="0.25">
      <c r="F125" s="269"/>
      <c r="G125" s="270"/>
      <c r="H125" s="269"/>
    </row>
    <row r="129" spans="6:8" x14ac:dyDescent="0.25">
      <c r="F129" s="271"/>
      <c r="G129" s="272"/>
      <c r="H129" s="271"/>
    </row>
    <row r="130" spans="6:8" x14ac:dyDescent="0.25">
      <c r="F130" s="273"/>
      <c r="G130" s="274"/>
      <c r="H130" s="273"/>
    </row>
    <row r="131" spans="6:8" x14ac:dyDescent="0.25">
      <c r="F131" s="273"/>
      <c r="G131" s="274"/>
      <c r="H131" s="273"/>
    </row>
    <row r="132" spans="6:8" x14ac:dyDescent="0.25">
      <c r="F132" s="273"/>
      <c r="G132" s="274"/>
      <c r="H132" s="273"/>
    </row>
    <row r="133" spans="6:8" x14ac:dyDescent="0.25">
      <c r="F133" s="273"/>
      <c r="G133" s="274"/>
      <c r="H133" s="273"/>
    </row>
    <row r="134" spans="6:8" x14ac:dyDescent="0.25">
      <c r="F134" s="273"/>
      <c r="G134" s="274"/>
      <c r="H134" s="273"/>
    </row>
    <row r="135" spans="6:8" x14ac:dyDescent="0.25">
      <c r="F135" s="273"/>
      <c r="G135" s="274"/>
      <c r="H135" s="273"/>
    </row>
    <row r="137" spans="6:8" x14ac:dyDescent="0.25">
      <c r="F137" s="271"/>
      <c r="G137" s="272"/>
      <c r="H137" s="271"/>
    </row>
    <row r="142" spans="6:8" x14ac:dyDescent="0.25">
      <c r="F142" s="271"/>
      <c r="G142" s="272"/>
      <c r="H142" s="271"/>
    </row>
    <row r="144" spans="6:8" x14ac:dyDescent="0.25">
      <c r="F144" s="273"/>
      <c r="G144" s="274"/>
      <c r="H144" s="273"/>
    </row>
    <row r="145" spans="6:8" x14ac:dyDescent="0.25">
      <c r="F145" s="273"/>
      <c r="G145" s="274"/>
      <c r="H145" s="273"/>
    </row>
    <row r="146" spans="6:8" x14ac:dyDescent="0.25">
      <c r="F146" s="273"/>
      <c r="G146" s="274"/>
      <c r="H146" s="273"/>
    </row>
    <row r="147" spans="6:8" x14ac:dyDescent="0.25">
      <c r="F147" s="273"/>
      <c r="G147" s="274"/>
      <c r="H147" s="273"/>
    </row>
    <row r="148" spans="6:8" x14ac:dyDescent="0.25">
      <c r="F148" s="273"/>
      <c r="G148" s="274"/>
      <c r="H148" s="273"/>
    </row>
    <row r="149" spans="6:8" x14ac:dyDescent="0.25">
      <c r="F149" s="273"/>
      <c r="G149" s="274"/>
      <c r="H149" s="273"/>
    </row>
    <row r="150" spans="6:8" x14ac:dyDescent="0.25">
      <c r="F150" s="273"/>
      <c r="G150" s="274"/>
      <c r="H150" s="273"/>
    </row>
    <row r="151" spans="6:8" x14ac:dyDescent="0.25">
      <c r="F151" s="273"/>
      <c r="G151" s="274"/>
      <c r="H151" s="273"/>
    </row>
    <row r="153" spans="6:8" x14ac:dyDescent="0.25">
      <c r="F153" s="271"/>
      <c r="G153" s="272"/>
      <c r="H153" s="271"/>
    </row>
    <row r="156" spans="6:8" x14ac:dyDescent="0.25">
      <c r="F156" s="271"/>
      <c r="G156" s="272"/>
      <c r="H156" s="271"/>
    </row>
    <row r="159" spans="6:8" x14ac:dyDescent="0.25">
      <c r="F159" s="271"/>
      <c r="G159" s="272"/>
      <c r="H159" s="271"/>
    </row>
    <row r="160" spans="6:8" x14ac:dyDescent="0.25">
      <c r="F160" s="273"/>
      <c r="G160" s="274"/>
      <c r="H160" s="273"/>
    </row>
    <row r="161" spans="6:8" x14ac:dyDescent="0.25">
      <c r="F161" s="273"/>
      <c r="G161" s="274"/>
      <c r="H161" s="273"/>
    </row>
    <row r="162" spans="6:8" x14ac:dyDescent="0.25">
      <c r="F162" s="273"/>
      <c r="G162" s="274"/>
      <c r="H162" s="273"/>
    </row>
    <row r="163" spans="6:8" x14ac:dyDescent="0.25">
      <c r="F163" s="273"/>
      <c r="G163" s="274"/>
      <c r="H163" s="273"/>
    </row>
    <row r="165" spans="6:8" x14ac:dyDescent="0.25">
      <c r="F165" s="271"/>
      <c r="G165" s="272"/>
      <c r="H165" s="271"/>
    </row>
    <row r="169" spans="6:8" x14ac:dyDescent="0.25">
      <c r="F169" s="271"/>
      <c r="G169" s="272"/>
      <c r="H169" s="271"/>
    </row>
    <row r="173" spans="6:8" x14ac:dyDescent="0.25">
      <c r="F173" s="271"/>
      <c r="G173" s="272"/>
      <c r="H173" s="271"/>
    </row>
    <row r="174" spans="6:8" x14ac:dyDescent="0.25">
      <c r="F174" s="273"/>
      <c r="G174" s="274"/>
      <c r="H174" s="273"/>
    </row>
    <row r="175" spans="6:8" x14ac:dyDescent="0.25">
      <c r="F175" s="273"/>
      <c r="G175" s="274"/>
      <c r="H175" s="273"/>
    </row>
    <row r="176" spans="6:8" x14ac:dyDescent="0.25">
      <c r="F176" s="273"/>
      <c r="G176" s="274"/>
      <c r="H176" s="273"/>
    </row>
    <row r="177" spans="6:8" x14ac:dyDescent="0.25">
      <c r="F177" s="273"/>
      <c r="G177" s="274"/>
      <c r="H177" s="273"/>
    </row>
    <row r="178" spans="6:8" x14ac:dyDescent="0.25">
      <c r="F178" s="273"/>
      <c r="G178" s="274"/>
      <c r="H178" s="273"/>
    </row>
    <row r="181" spans="6:8" x14ac:dyDescent="0.25">
      <c r="F181" s="271"/>
      <c r="G181" s="272"/>
      <c r="H181" s="271"/>
    </row>
    <row r="184" spans="6:8" x14ac:dyDescent="0.25">
      <c r="F184" s="271"/>
      <c r="G184" s="272"/>
      <c r="H184" s="271"/>
    </row>
    <row r="189" spans="6:8" x14ac:dyDescent="0.25">
      <c r="F189" s="271"/>
      <c r="G189" s="272"/>
      <c r="H189" s="271"/>
    </row>
    <row r="194" spans="6:8" x14ac:dyDescent="0.25">
      <c r="F194" s="271"/>
      <c r="G194" s="272"/>
      <c r="H194" s="271"/>
    </row>
    <row r="202" spans="6:8" x14ac:dyDescent="0.25">
      <c r="F202" s="271"/>
      <c r="G202" s="272"/>
      <c r="H202" s="271"/>
    </row>
    <row r="203" spans="6:8" x14ac:dyDescent="0.25">
      <c r="F203" s="271"/>
      <c r="G203" s="272"/>
      <c r="H203" s="271"/>
    </row>
    <row r="204" spans="6:8" x14ac:dyDescent="0.25">
      <c r="F204" s="271"/>
      <c r="G204" s="272"/>
      <c r="H204" s="271"/>
    </row>
    <row r="205" spans="6:8" x14ac:dyDescent="0.25">
      <c r="F205" s="271"/>
      <c r="G205" s="272"/>
      <c r="H205" s="271"/>
    </row>
    <row r="209" spans="6:8" x14ac:dyDescent="0.25">
      <c r="F209" s="271"/>
      <c r="G209" s="272"/>
      <c r="H209" s="271"/>
    </row>
    <row r="274" spans="9:9" x14ac:dyDescent="0.25">
      <c r="I274" s="269"/>
    </row>
    <row r="278" spans="9:9" x14ac:dyDescent="0.25">
      <c r="I278" s="271"/>
    </row>
    <row r="279" spans="9:9" x14ac:dyDescent="0.25">
      <c r="I279" s="271"/>
    </row>
    <row r="280" spans="9:9" x14ac:dyDescent="0.25">
      <c r="I280" s="271"/>
    </row>
    <row r="281" spans="9:9" x14ac:dyDescent="0.25">
      <c r="I281" s="271"/>
    </row>
    <row r="282" spans="9:9" x14ac:dyDescent="0.25">
      <c r="I282" s="271"/>
    </row>
    <row r="283" spans="9:9" x14ac:dyDescent="0.25">
      <c r="I283" s="271"/>
    </row>
    <row r="284" spans="9:9" x14ac:dyDescent="0.25">
      <c r="I284" s="271"/>
    </row>
    <row r="286" spans="9:9" x14ac:dyDescent="0.25">
      <c r="I286" s="271"/>
    </row>
    <row r="288" spans="9:9" x14ac:dyDescent="0.25">
      <c r="I288" s="271"/>
    </row>
    <row r="289" spans="9:10" x14ac:dyDescent="0.25">
      <c r="I289" s="271"/>
    </row>
    <row r="290" spans="9:10" x14ac:dyDescent="0.25">
      <c r="I290" s="271"/>
    </row>
    <row r="291" spans="9:10" x14ac:dyDescent="0.25">
      <c r="I291" s="271"/>
    </row>
    <row r="292" spans="9:10" x14ac:dyDescent="0.25">
      <c r="I292" s="271"/>
    </row>
    <row r="293" spans="9:10" x14ac:dyDescent="0.25">
      <c r="I293" s="271"/>
      <c r="J293" s="273"/>
    </row>
    <row r="294" spans="9:10" x14ac:dyDescent="0.25">
      <c r="I294" s="271"/>
      <c r="J294" s="273"/>
    </row>
    <row r="295" spans="9:10" x14ac:dyDescent="0.25">
      <c r="I295" s="271"/>
      <c r="J295" s="273"/>
    </row>
    <row r="296" spans="9:10" x14ac:dyDescent="0.25">
      <c r="I296" s="271"/>
      <c r="J296" s="273"/>
    </row>
    <row r="297" spans="9:10" x14ac:dyDescent="0.25">
      <c r="I297" s="271"/>
      <c r="J297" s="273"/>
    </row>
    <row r="298" spans="9:10" x14ac:dyDescent="0.25">
      <c r="I298" s="271"/>
      <c r="J298" s="273"/>
    </row>
    <row r="299" spans="9:10" x14ac:dyDescent="0.25">
      <c r="I299" s="271"/>
      <c r="J299" s="273"/>
    </row>
    <row r="300" spans="9:10" x14ac:dyDescent="0.25">
      <c r="I300" s="271"/>
      <c r="J300" s="273"/>
    </row>
    <row r="302" spans="9:10" x14ac:dyDescent="0.25">
      <c r="I302" s="271"/>
    </row>
    <row r="304" spans="9:10" x14ac:dyDescent="0.25">
      <c r="I304" s="271"/>
    </row>
    <row r="305" spans="9:10" x14ac:dyDescent="0.25">
      <c r="I305" s="271"/>
    </row>
    <row r="307" spans="9:10" x14ac:dyDescent="0.25">
      <c r="I307" s="271"/>
    </row>
    <row r="308" spans="9:10" x14ac:dyDescent="0.25">
      <c r="I308" s="271"/>
    </row>
    <row r="309" spans="9:10" x14ac:dyDescent="0.25">
      <c r="I309" s="271"/>
      <c r="J309" s="273"/>
    </row>
    <row r="310" spans="9:10" x14ac:dyDescent="0.25">
      <c r="I310" s="271"/>
      <c r="J310" s="273"/>
    </row>
    <row r="311" spans="9:10" x14ac:dyDescent="0.25">
      <c r="I311" s="271"/>
      <c r="J311" s="273"/>
    </row>
    <row r="312" spans="9:10" x14ac:dyDescent="0.25">
      <c r="I312" s="271"/>
      <c r="J312" s="273"/>
    </row>
    <row r="314" spans="9:10" x14ac:dyDescent="0.25">
      <c r="I314" s="271"/>
    </row>
    <row r="316" spans="9:10" x14ac:dyDescent="0.25">
      <c r="I316" s="271"/>
    </row>
    <row r="317" spans="9:10" x14ac:dyDescent="0.25">
      <c r="I317" s="271"/>
    </row>
    <row r="318" spans="9:10" x14ac:dyDescent="0.25">
      <c r="I318" s="271"/>
    </row>
    <row r="320" spans="9:10" x14ac:dyDescent="0.25">
      <c r="I320" s="271"/>
    </row>
    <row r="321" spans="9:9" x14ac:dyDescent="0.25">
      <c r="I321" s="271"/>
    </row>
    <row r="322" spans="9:9" x14ac:dyDescent="0.25">
      <c r="I322" s="271"/>
    </row>
    <row r="323" spans="9:9" x14ac:dyDescent="0.25">
      <c r="I323" s="271"/>
    </row>
    <row r="324" spans="9:9" x14ac:dyDescent="0.25">
      <c r="I324" s="271"/>
    </row>
    <row r="325" spans="9:9" x14ac:dyDescent="0.25">
      <c r="I325" s="271"/>
    </row>
    <row r="326" spans="9:9" x14ac:dyDescent="0.25">
      <c r="I326" s="271"/>
    </row>
    <row r="327" spans="9:9" x14ac:dyDescent="0.25">
      <c r="I327" s="271"/>
    </row>
    <row r="329" spans="9:9" x14ac:dyDescent="0.25">
      <c r="I329" s="271"/>
    </row>
    <row r="330" spans="9:9" x14ac:dyDescent="0.25">
      <c r="I330" s="271"/>
    </row>
    <row r="332" spans="9:9" x14ac:dyDescent="0.25">
      <c r="I332" s="271"/>
    </row>
    <row r="333" spans="9:9" x14ac:dyDescent="0.25">
      <c r="I333" s="271"/>
    </row>
    <row r="334" spans="9:9" x14ac:dyDescent="0.25">
      <c r="I334" s="273"/>
    </row>
    <row r="336" spans="9:9" x14ac:dyDescent="0.25">
      <c r="I336" s="273"/>
    </row>
    <row r="338" spans="9:10" x14ac:dyDescent="0.25">
      <c r="I338" s="271"/>
    </row>
    <row r="339" spans="9:10" x14ac:dyDescent="0.25">
      <c r="I339" s="271"/>
    </row>
    <row r="340" spans="9:10" x14ac:dyDescent="0.25">
      <c r="I340" s="271"/>
    </row>
    <row r="341" spans="9:10" x14ac:dyDescent="0.25">
      <c r="I341" s="271"/>
    </row>
    <row r="342" spans="9:10" x14ac:dyDescent="0.25">
      <c r="I342" s="271"/>
    </row>
    <row r="343" spans="9:10" x14ac:dyDescent="0.25">
      <c r="I343" s="271"/>
    </row>
    <row r="344" spans="9:10" x14ac:dyDescent="0.25">
      <c r="I344" s="271"/>
    </row>
    <row r="345" spans="9:10" x14ac:dyDescent="0.25">
      <c r="I345" s="271"/>
    </row>
    <row r="346" spans="9:10" x14ac:dyDescent="0.25">
      <c r="I346" s="271"/>
    </row>
    <row r="347" spans="9:10" x14ac:dyDescent="0.25">
      <c r="I347" s="271"/>
    </row>
    <row r="348" spans="9:10" x14ac:dyDescent="0.25">
      <c r="I348" s="271"/>
    </row>
    <row r="349" spans="9:10" x14ac:dyDescent="0.25">
      <c r="I349" s="271"/>
    </row>
    <row r="350" spans="9:10" x14ac:dyDescent="0.25">
      <c r="I350" s="271"/>
    </row>
    <row r="351" spans="9:10" x14ac:dyDescent="0.25">
      <c r="I351" s="271"/>
      <c r="J351" s="271"/>
    </row>
    <row r="352" spans="9:10" x14ac:dyDescent="0.25">
      <c r="I352" s="271"/>
      <c r="J352" s="271"/>
    </row>
    <row r="353" spans="9:10" x14ac:dyDescent="0.25">
      <c r="I353" s="271"/>
      <c r="J353" s="271"/>
    </row>
    <row r="354" spans="9:10" x14ac:dyDescent="0.25">
      <c r="I354" s="271"/>
      <c r="J354" s="271"/>
    </row>
    <row r="355" spans="9:10" x14ac:dyDescent="0.25">
      <c r="I355" s="271"/>
    </row>
    <row r="357" spans="9:10" x14ac:dyDescent="0.25">
      <c r="I357" s="271"/>
    </row>
    <row r="358" spans="9:10" x14ac:dyDescent="0.25">
      <c r="I358" s="271"/>
    </row>
    <row r="561" spans="2:8" x14ac:dyDescent="0.25">
      <c r="B561" s="269"/>
    </row>
    <row r="563" spans="2:8" x14ac:dyDescent="0.25">
      <c r="F563" s="269"/>
      <c r="G563" s="270"/>
      <c r="H563" s="269"/>
    </row>
    <row r="567" spans="2:8" x14ac:dyDescent="0.25">
      <c r="F567" s="271"/>
      <c r="G567" s="272"/>
      <c r="H567" s="271"/>
    </row>
    <row r="571" spans="2:8" x14ac:dyDescent="0.25">
      <c r="F571" s="271"/>
      <c r="G571" s="272"/>
      <c r="H571" s="271"/>
    </row>
    <row r="573" spans="2:8" x14ac:dyDescent="0.25">
      <c r="F573" s="271"/>
      <c r="G573" s="272"/>
      <c r="H573" s="271"/>
    </row>
    <row r="576" spans="2:8" x14ac:dyDescent="0.25">
      <c r="F576" s="271"/>
      <c r="G576" s="272"/>
      <c r="H576" s="271"/>
    </row>
    <row r="580" spans="6:8" x14ac:dyDescent="0.25">
      <c r="F580" s="271"/>
      <c r="G580" s="272"/>
      <c r="H580" s="271"/>
    </row>
    <row r="582" spans="6:8" x14ac:dyDescent="0.25">
      <c r="F582" s="271"/>
      <c r="G582" s="272"/>
      <c r="H582" s="271"/>
    </row>
    <row r="586" spans="6:8" x14ac:dyDescent="0.25">
      <c r="F586" s="275"/>
      <c r="G586" s="276"/>
      <c r="H586" s="271"/>
    </row>
    <row r="588" spans="6:8" x14ac:dyDescent="0.25">
      <c r="F588" s="271"/>
      <c r="G588" s="272"/>
      <c r="H588" s="271"/>
    </row>
    <row r="592" spans="6:8" x14ac:dyDescent="0.25">
      <c r="F592" s="271"/>
      <c r="G592" s="272"/>
      <c r="H592" s="271"/>
    </row>
    <row r="594" spans="2:8" x14ac:dyDescent="0.25">
      <c r="F594" s="269"/>
      <c r="G594" s="270"/>
    </row>
    <row r="596" spans="2:8" x14ac:dyDescent="0.25">
      <c r="F596" s="271"/>
      <c r="G596" s="272"/>
      <c r="H596" s="271"/>
    </row>
    <row r="606" spans="2:8" x14ac:dyDescent="0.25">
      <c r="B606" s="269"/>
    </row>
    <row r="610" spans="6:8" x14ac:dyDescent="0.25">
      <c r="F610" s="269"/>
      <c r="G610" s="270"/>
      <c r="H610" s="269"/>
    </row>
    <row r="615" spans="6:8" x14ac:dyDescent="0.25">
      <c r="F615" s="275"/>
      <c r="G615" s="276"/>
      <c r="H615" s="275"/>
    </row>
    <row r="617" spans="6:8" x14ac:dyDescent="0.25">
      <c r="F617" s="269"/>
      <c r="G617" s="270"/>
      <c r="H617" s="269"/>
    </row>
    <row r="620" spans="6:8" x14ac:dyDescent="0.25">
      <c r="F620" s="271"/>
      <c r="G620" s="272"/>
      <c r="H620" s="271"/>
    </row>
    <row r="622" spans="6:8" x14ac:dyDescent="0.25">
      <c r="F622" s="269"/>
      <c r="G622" s="270"/>
      <c r="H622" s="269"/>
    </row>
    <row r="623" spans="6:8" x14ac:dyDescent="0.25">
      <c r="F623" s="269"/>
      <c r="G623" s="270"/>
      <c r="H623" s="269"/>
    </row>
    <row r="624" spans="6:8" x14ac:dyDescent="0.25">
      <c r="F624" s="269"/>
      <c r="G624" s="270"/>
      <c r="H624" s="269"/>
    </row>
    <row r="625" spans="6:8" x14ac:dyDescent="0.25">
      <c r="F625" s="269"/>
      <c r="G625" s="270"/>
      <c r="H625" s="269"/>
    </row>
    <row r="627" spans="6:8" x14ac:dyDescent="0.25">
      <c r="F627" s="271"/>
      <c r="G627" s="272"/>
      <c r="H627" s="271"/>
    </row>
    <row r="712" spans="9:9" x14ac:dyDescent="0.25">
      <c r="I712" s="269"/>
    </row>
    <row r="716" spans="9:9" x14ac:dyDescent="0.25">
      <c r="I716" s="271"/>
    </row>
    <row r="720" spans="9:9" x14ac:dyDescent="0.25">
      <c r="I720" s="271"/>
    </row>
    <row r="722" spans="9:9" x14ac:dyDescent="0.25">
      <c r="I722" s="271"/>
    </row>
    <row r="725" spans="9:9" x14ac:dyDescent="0.25">
      <c r="I725" s="271"/>
    </row>
    <row r="729" spans="9:9" x14ac:dyDescent="0.25">
      <c r="I729" s="271"/>
    </row>
    <row r="731" spans="9:9" x14ac:dyDescent="0.25">
      <c r="I731" s="271"/>
    </row>
    <row r="735" spans="9:9" x14ac:dyDescent="0.25">
      <c r="I735" s="271"/>
    </row>
    <row r="737" spans="9:9" x14ac:dyDescent="0.25">
      <c r="I737" s="271"/>
    </row>
    <row r="741" spans="9:9" x14ac:dyDescent="0.25">
      <c r="I741" s="271"/>
    </row>
    <row r="745" spans="9:9" x14ac:dyDescent="0.25">
      <c r="I745" s="271"/>
    </row>
    <row r="759" spans="9:9" x14ac:dyDescent="0.25">
      <c r="I759" s="269"/>
    </row>
    <row r="764" spans="9:9" x14ac:dyDescent="0.25">
      <c r="I764" s="275"/>
    </row>
    <row r="766" spans="9:9" x14ac:dyDescent="0.25">
      <c r="I766" s="269"/>
    </row>
    <row r="769" spans="9:9" x14ac:dyDescent="0.25">
      <c r="I769" s="271"/>
    </row>
    <row r="771" spans="9:9" x14ac:dyDescent="0.25">
      <c r="I771" s="269"/>
    </row>
    <row r="772" spans="9:9" x14ac:dyDescent="0.25">
      <c r="I772" s="269"/>
    </row>
    <row r="773" spans="9:9" x14ac:dyDescent="0.25">
      <c r="I773" s="269"/>
    </row>
    <row r="774" spans="9:9" x14ac:dyDescent="0.25">
      <c r="I774" s="269"/>
    </row>
    <row r="776" spans="9:9" x14ac:dyDescent="0.25">
      <c r="I776" s="271"/>
    </row>
  </sheetData>
  <mergeCells count="6">
    <mergeCell ref="B33:H38"/>
    <mergeCell ref="B95:H99"/>
    <mergeCell ref="A1:H1"/>
    <mergeCell ref="A3:H3"/>
    <mergeCell ref="A63:H63"/>
    <mergeCell ref="A65:H65"/>
  </mergeCells>
  <pageMargins left="0.5" right="0.1" top="0.5" bottom="0.25" header="0.25" footer="0"/>
  <pageSetup scale="80" fitToWidth="8" fitToHeight="11" orientation="portrait" r:id="rId1"/>
  <headerFooter alignWithMargins="0">
    <oddFooter>&amp;L&amp;"Times New Roman,Regular"&amp;9&amp;D &amp;C&amp;"Times New Roman,Regular"&amp;9&amp;Z&amp;F&amp;R&amp;"Times New Roman,Regular"&amp;9&amp;A</oddFooter>
  </headerFooter>
  <rowBreaks count="1" manualBreakCount="1">
    <brk id="61"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2"/>
  <dimension ref="A1:N35"/>
  <sheetViews>
    <sheetView view="pageBreakPreview" topLeftCell="B1" zoomScaleNormal="75" workbookViewId="0">
      <selection activeCell="E23" sqref="E23"/>
    </sheetView>
  </sheetViews>
  <sheetFormatPr defaultColWidth="9.77734375" defaultRowHeight="15.75" x14ac:dyDescent="0.25"/>
  <cols>
    <col min="1" max="1" width="7.5546875" style="1" hidden="1" customWidth="1"/>
    <col min="2" max="2" width="28.33203125" style="1" customWidth="1"/>
    <col min="3" max="3" width="1.77734375" style="1" customWidth="1"/>
    <col min="4" max="4" width="1.21875" style="1" customWidth="1"/>
    <col min="5" max="5" width="6.109375" style="1" bestFit="1" customWidth="1"/>
    <col min="6" max="6" width="1.77734375" style="1" customWidth="1"/>
    <col min="7" max="7" width="7.33203125" style="1" bestFit="1" customWidth="1"/>
    <col min="8" max="8" width="1.77734375" style="1" customWidth="1"/>
    <col min="9" max="9" width="8.21875" style="1" bestFit="1" customWidth="1"/>
    <col min="10" max="10" width="8.77734375" style="1" customWidth="1"/>
    <col min="11" max="11" width="9.77734375" style="1"/>
    <col min="12" max="12" width="8.77734375" style="1" customWidth="1"/>
    <col min="13" max="13" width="9.77734375" style="1"/>
    <col min="14" max="14" width="10.77734375" style="1" customWidth="1"/>
    <col min="15" max="16384" width="9.77734375" style="1"/>
  </cols>
  <sheetData>
    <row r="1" spans="1:9" x14ac:dyDescent="0.25">
      <c r="I1" s="50" t="s">
        <v>244</v>
      </c>
    </row>
    <row r="2" spans="1:9" x14ac:dyDescent="0.25">
      <c r="A2" s="19" t="s">
        <v>47</v>
      </c>
      <c r="B2" s="623" t="s">
        <v>47</v>
      </c>
      <c r="C2" s="623"/>
      <c r="D2" s="623"/>
      <c r="E2" s="623"/>
      <c r="F2" s="623"/>
      <c r="G2" s="623"/>
      <c r="H2" s="623"/>
      <c r="I2" s="623"/>
    </row>
    <row r="3" spans="1:9" x14ac:dyDescent="0.25">
      <c r="A3" s="19" t="s">
        <v>232</v>
      </c>
      <c r="B3" s="623" t="s">
        <v>234</v>
      </c>
      <c r="C3" s="623"/>
      <c r="D3" s="623"/>
      <c r="E3" s="623"/>
      <c r="F3" s="623"/>
      <c r="G3" s="623"/>
      <c r="H3" s="623"/>
      <c r="I3" s="623"/>
    </row>
    <row r="4" spans="1:9" x14ac:dyDescent="0.25">
      <c r="A4" s="46" t="str">
        <f>'General Fund'!A4</f>
        <v>Year Ending September 30, 2019</v>
      </c>
      <c r="B4" s="623" t="str">
        <f>'General Fund'!A4</f>
        <v>Year Ending September 30, 2019</v>
      </c>
      <c r="C4" s="623"/>
      <c r="D4" s="623"/>
      <c r="E4" s="623"/>
      <c r="F4" s="623"/>
      <c r="G4" s="623"/>
      <c r="H4" s="623"/>
      <c r="I4" s="623"/>
    </row>
    <row r="5" spans="1:9" x14ac:dyDescent="0.25">
      <c r="C5" s="2"/>
      <c r="D5" s="2"/>
      <c r="F5" s="4"/>
    </row>
    <row r="7" spans="1:9" x14ac:dyDescent="0.25">
      <c r="E7" s="4"/>
      <c r="G7" s="4"/>
      <c r="I7" s="4"/>
    </row>
    <row r="8" spans="1:9" x14ac:dyDescent="0.25">
      <c r="E8" s="629" t="s">
        <v>109</v>
      </c>
      <c r="F8" s="629"/>
      <c r="G8" s="629"/>
      <c r="H8" s="629"/>
      <c r="I8" s="629"/>
    </row>
    <row r="9" spans="1:9" x14ac:dyDescent="0.25">
      <c r="E9" s="78">
        <v>2017</v>
      </c>
      <c r="F9" s="77"/>
      <c r="G9" s="78">
        <f>E9+1</f>
        <v>2018</v>
      </c>
      <c r="H9" s="77"/>
      <c r="I9" s="78">
        <f>G9+1</f>
        <v>2019</v>
      </c>
    </row>
    <row r="10" spans="1:9" x14ac:dyDescent="0.25">
      <c r="E10" s="51" t="s">
        <v>83</v>
      </c>
      <c r="G10" s="51" t="s">
        <v>84</v>
      </c>
      <c r="I10" s="51" t="s">
        <v>85</v>
      </c>
    </row>
    <row r="12" spans="1:9" x14ac:dyDescent="0.25">
      <c r="B12" s="2" t="s">
        <v>0</v>
      </c>
    </row>
    <row r="13" spans="1:9" x14ac:dyDescent="0.25">
      <c r="B13" s="1" t="s">
        <v>459</v>
      </c>
      <c r="E13" s="199">
        <v>0</v>
      </c>
      <c r="F13" s="199"/>
      <c r="G13" s="200">
        <f>'Estimating Schedule - CPF'!J13</f>
        <v>0</v>
      </c>
      <c r="H13" s="199"/>
      <c r="I13" s="199">
        <v>0</v>
      </c>
    </row>
    <row r="14" spans="1:9" ht="18" x14ac:dyDescent="0.4">
      <c r="B14" s="1" t="s">
        <v>167</v>
      </c>
      <c r="E14" s="201">
        <v>0</v>
      </c>
      <c r="F14" s="202"/>
      <c r="G14" s="201">
        <f>'Estimating Schedule - CPF'!J14</f>
        <v>0</v>
      </c>
      <c r="H14" s="202"/>
      <c r="I14" s="201">
        <v>0</v>
      </c>
    </row>
    <row r="15" spans="1:9" ht="18" x14ac:dyDescent="0.4">
      <c r="B15" s="1" t="s">
        <v>168</v>
      </c>
      <c r="E15" s="203">
        <f>E13+E14</f>
        <v>0</v>
      </c>
      <c r="F15" s="204"/>
      <c r="G15" s="203">
        <f>G13+G14</f>
        <v>0</v>
      </c>
      <c r="H15" s="204"/>
      <c r="I15" s="203">
        <f>I13+I14</f>
        <v>0</v>
      </c>
    </row>
    <row r="16" spans="1:9" x14ac:dyDescent="0.25">
      <c r="E16" s="49"/>
      <c r="F16" s="49"/>
      <c r="G16" s="49"/>
      <c r="H16" s="49"/>
      <c r="I16" s="49"/>
    </row>
    <row r="17" spans="2:14" x14ac:dyDescent="0.25">
      <c r="E17" s="52"/>
      <c r="F17" s="49"/>
      <c r="G17" s="52"/>
      <c r="H17" s="49"/>
      <c r="I17" s="52"/>
    </row>
    <row r="18" spans="2:14" x14ac:dyDescent="0.25">
      <c r="B18" s="2" t="s">
        <v>7</v>
      </c>
      <c r="E18" s="52"/>
      <c r="F18" s="49"/>
      <c r="G18" s="52"/>
      <c r="H18" s="49"/>
      <c r="I18" s="52"/>
    </row>
    <row r="19" spans="2:14" x14ac:dyDescent="0.25">
      <c r="B19" s="1" t="s">
        <v>169</v>
      </c>
      <c r="E19" s="52"/>
      <c r="F19" s="49"/>
      <c r="G19" s="52"/>
      <c r="H19" s="49"/>
      <c r="I19" s="52"/>
    </row>
    <row r="20" spans="2:14" x14ac:dyDescent="0.25">
      <c r="B20" s="1" t="s">
        <v>252</v>
      </c>
      <c r="E20" s="205">
        <v>0</v>
      </c>
      <c r="F20" s="205"/>
      <c r="G20" s="205">
        <f>'Estimating Schedule - CPF'!J20</f>
        <v>0</v>
      </c>
      <c r="H20" s="205"/>
      <c r="I20" s="205">
        <v>0</v>
      </c>
    </row>
    <row r="21" spans="2:14" ht="18" x14ac:dyDescent="0.4">
      <c r="B21" s="1" t="s">
        <v>477</v>
      </c>
      <c r="E21" s="201">
        <v>0</v>
      </c>
      <c r="F21" s="202"/>
      <c r="G21" s="201">
        <f>'Estimating Schedule - CPF'!J21</f>
        <v>0</v>
      </c>
      <c r="H21" s="202"/>
      <c r="I21" s="312">
        <v>0</v>
      </c>
    </row>
    <row r="22" spans="2:14" ht="18" x14ac:dyDescent="0.4">
      <c r="B22" s="1" t="s">
        <v>14</v>
      </c>
      <c r="E22" s="203">
        <f>SUM(E19:E21)</f>
        <v>0</v>
      </c>
      <c r="F22" s="204"/>
      <c r="G22" s="203">
        <f>SUM(G19:G21)</f>
        <v>0</v>
      </c>
      <c r="H22" s="204"/>
      <c r="I22" s="564">
        <f>SUM(I19:I21)</f>
        <v>0</v>
      </c>
    </row>
    <row r="23" spans="2:14" x14ac:dyDescent="0.25">
      <c r="E23" s="49"/>
      <c r="F23" s="49"/>
      <c r="G23" s="49"/>
      <c r="H23" s="49"/>
      <c r="I23" s="49"/>
    </row>
    <row r="24" spans="2:14" x14ac:dyDescent="0.25">
      <c r="B24" s="1" t="s">
        <v>456</v>
      </c>
      <c r="E24" s="205">
        <f>E15-E22</f>
        <v>0</v>
      </c>
      <c r="F24" s="205"/>
      <c r="G24" s="205">
        <f>G15-G22</f>
        <v>0</v>
      </c>
      <c r="H24" s="205" t="s">
        <v>19</v>
      </c>
      <c r="I24" s="590">
        <f>I15-I22</f>
        <v>0</v>
      </c>
    </row>
    <row r="25" spans="2:14" x14ac:dyDescent="0.25">
      <c r="E25" s="52"/>
      <c r="F25" s="49"/>
      <c r="G25" s="52"/>
      <c r="H25" s="49"/>
      <c r="I25" s="52"/>
    </row>
    <row r="26" spans="2:14" x14ac:dyDescent="0.25">
      <c r="B26" s="2" t="s">
        <v>170</v>
      </c>
      <c r="E26" s="49"/>
      <c r="F26" s="49"/>
      <c r="G26" s="49"/>
      <c r="H26" s="49"/>
      <c r="I26" s="49"/>
    </row>
    <row r="27" spans="2:14" ht="18" x14ac:dyDescent="0.4">
      <c r="B27" s="1" t="s">
        <v>457</v>
      </c>
      <c r="E27" s="201">
        <v>0</v>
      </c>
      <c r="F27" s="202"/>
      <c r="G27" s="201">
        <f>'Estimating Schedule - CPF'!J27</f>
        <v>0</v>
      </c>
      <c r="H27" s="202"/>
      <c r="I27" s="201">
        <v>0</v>
      </c>
    </row>
    <row r="28" spans="2:14" x14ac:dyDescent="0.25">
      <c r="E28" s="49"/>
      <c r="F28" s="49"/>
      <c r="G28" s="49"/>
      <c r="H28" s="49"/>
      <c r="I28" s="49"/>
    </row>
    <row r="29" spans="2:14" x14ac:dyDescent="0.25">
      <c r="B29" s="1" t="s">
        <v>458</v>
      </c>
      <c r="E29" s="49"/>
      <c r="F29" s="49"/>
      <c r="G29" s="49"/>
      <c r="H29" s="49"/>
      <c r="I29" s="49"/>
      <c r="N29" s="1" t="s">
        <v>19</v>
      </c>
    </row>
    <row r="30" spans="2:14" x14ac:dyDescent="0.25">
      <c r="B30" s="1" t="s">
        <v>90</v>
      </c>
      <c r="E30" s="205">
        <f>E24+E27</f>
        <v>0</v>
      </c>
      <c r="F30" s="205"/>
      <c r="G30" s="205">
        <f>G24+G27</f>
        <v>0</v>
      </c>
      <c r="H30" s="205"/>
      <c r="I30" s="590">
        <f>I24+I27</f>
        <v>0</v>
      </c>
    </row>
    <row r="31" spans="2:14" x14ac:dyDescent="0.25">
      <c r="E31" s="49"/>
      <c r="F31" s="49"/>
      <c r="G31" s="49"/>
      <c r="H31" s="49"/>
      <c r="I31" s="49"/>
    </row>
    <row r="32" spans="2:14" ht="18" x14ac:dyDescent="0.4">
      <c r="B32" s="2" t="s">
        <v>155</v>
      </c>
      <c r="E32" s="201">
        <v>0</v>
      </c>
      <c r="F32" s="202"/>
      <c r="G32" s="201">
        <f>E34</f>
        <v>0</v>
      </c>
      <c r="H32" s="202"/>
      <c r="I32" s="201">
        <f>G34</f>
        <v>0</v>
      </c>
    </row>
    <row r="33" spans="2:9" x14ac:dyDescent="0.25">
      <c r="E33" s="61"/>
      <c r="F33" s="9"/>
      <c r="G33" s="61"/>
      <c r="H33" s="9"/>
      <c r="I33" s="61"/>
    </row>
    <row r="34" spans="2:9" ht="18" x14ac:dyDescent="0.4">
      <c r="B34" s="2" t="s">
        <v>108</v>
      </c>
      <c r="E34" s="206">
        <f>SUM(E30:E32)</f>
        <v>0</v>
      </c>
      <c r="F34" s="207"/>
      <c r="G34" s="206">
        <f>SUM(G30:G32)</f>
        <v>0</v>
      </c>
      <c r="H34" s="207"/>
      <c r="I34" s="591">
        <f>SUM(I30:I32)</f>
        <v>0</v>
      </c>
    </row>
    <row r="35" spans="2:9" x14ac:dyDescent="0.25">
      <c r="B35" s="1" t="s">
        <v>19</v>
      </c>
      <c r="E35" s="52"/>
      <c r="F35" s="49"/>
      <c r="G35" s="52"/>
      <c r="H35" s="49"/>
      <c r="I35" s="52"/>
    </row>
  </sheetData>
  <mergeCells count="4">
    <mergeCell ref="B4:I4"/>
    <mergeCell ref="B3:I3"/>
    <mergeCell ref="B2:I2"/>
    <mergeCell ref="E8:I8"/>
  </mergeCells>
  <phoneticPr fontId="0" type="noConversion"/>
  <pageMargins left="1" right="1" top="0.5" bottom="0.25" header="0.25" footer="0"/>
  <pageSetup orientation="portrait" r:id="rId1"/>
  <headerFooter alignWithMargins="0">
    <oddFooter>&amp;L&amp;"Times New Roman,Regular"&amp;9&amp;D &amp;C&amp;"Times New Roman,Regular"&amp;9&amp;Z&amp;F&amp;R&amp;"Times New Roman,Regular"&amp;9&amp;A</oddFooter>
  </headerFooter>
  <rowBreaks count="1" manualBreakCount="1">
    <brk id="3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3">
    <tabColor rgb="FF7030A0"/>
  </sheetPr>
  <dimension ref="A1:Z106"/>
  <sheetViews>
    <sheetView view="pageBreakPreview" topLeftCell="A31" zoomScale="95" zoomScaleNormal="60" workbookViewId="0">
      <selection activeCell="E23" sqref="E23"/>
    </sheetView>
  </sheetViews>
  <sheetFormatPr defaultColWidth="9.77734375" defaultRowHeight="15.75" x14ac:dyDescent="0.25"/>
  <cols>
    <col min="1" max="1" width="37.88671875" style="1" customWidth="1"/>
    <col min="2" max="2" width="2.33203125" style="1" customWidth="1"/>
    <col min="3" max="3" width="1.77734375" style="1" customWidth="1"/>
    <col min="4" max="4" width="10.109375" style="22" customWidth="1"/>
    <col min="5" max="5" width="2.77734375" style="1" customWidth="1"/>
    <col min="6" max="6" width="10.109375" style="22" customWidth="1"/>
    <col min="7" max="7" width="1.77734375" style="1" customWidth="1"/>
    <col min="8" max="8" width="10.109375" style="22" customWidth="1"/>
    <col min="9" max="9" width="2.77734375" style="1" customWidth="1"/>
    <col min="10" max="10" width="9.77734375" style="1"/>
    <col min="11" max="11" width="1.77734375" style="1" customWidth="1"/>
    <col min="12" max="12" width="9.77734375" style="1"/>
    <col min="13" max="13" width="3.44140625" style="1" customWidth="1"/>
    <col min="14" max="14" width="8.77734375" style="1" customWidth="1"/>
    <col min="15" max="15" width="1.77734375" style="1" customWidth="1"/>
    <col min="16" max="16" width="9.77734375" style="1"/>
    <col min="17" max="17" width="2.77734375" style="1" customWidth="1"/>
    <col min="18" max="18" width="14.33203125" style="1" customWidth="1"/>
    <col min="19" max="19" width="1.77734375" style="1" customWidth="1"/>
    <col min="20" max="16384" width="9.77734375" style="1"/>
  </cols>
  <sheetData>
    <row r="1" spans="1:18" ht="15" customHeight="1" x14ac:dyDescent="0.25">
      <c r="H1" s="47" t="s">
        <v>245</v>
      </c>
    </row>
    <row r="2" spans="1:18" ht="15" customHeight="1" x14ac:dyDescent="0.25">
      <c r="A2" s="623" t="s">
        <v>47</v>
      </c>
      <c r="B2" s="623"/>
      <c r="C2" s="623"/>
      <c r="D2" s="623"/>
      <c r="E2" s="623"/>
      <c r="F2" s="623"/>
      <c r="G2" s="623"/>
      <c r="H2" s="623"/>
    </row>
    <row r="3" spans="1:18" ht="15" customHeight="1" x14ac:dyDescent="0.25">
      <c r="A3" s="623" t="s">
        <v>233</v>
      </c>
      <c r="B3" s="623"/>
      <c r="C3" s="623"/>
      <c r="D3" s="623"/>
      <c r="E3" s="623"/>
      <c r="F3" s="623"/>
      <c r="G3" s="623"/>
      <c r="H3" s="623"/>
    </row>
    <row r="4" spans="1:18" ht="15" customHeight="1" x14ac:dyDescent="0.25">
      <c r="A4" s="623" t="str">
        <f>'General Fund'!A4</f>
        <v>Year Ending September 30, 2019</v>
      </c>
      <c r="B4" s="623"/>
      <c r="C4" s="623"/>
      <c r="D4" s="623"/>
      <c r="E4" s="623"/>
      <c r="F4" s="623"/>
      <c r="G4" s="623"/>
      <c r="H4" s="623"/>
    </row>
    <row r="5" spans="1:18" ht="15" customHeight="1" x14ac:dyDescent="0.25"/>
    <row r="6" spans="1:18" ht="17.25" customHeight="1" x14ac:dyDescent="0.25">
      <c r="D6" s="630" t="s">
        <v>109</v>
      </c>
      <c r="E6" s="630"/>
      <c r="F6" s="630"/>
      <c r="G6" s="630"/>
      <c r="H6" s="630"/>
    </row>
    <row r="7" spans="1:18" ht="15" customHeight="1" x14ac:dyDescent="0.25">
      <c r="D7" s="76">
        <v>2017</v>
      </c>
      <c r="E7" s="79"/>
      <c r="F7" s="76">
        <f>D7+1</f>
        <v>2018</v>
      </c>
      <c r="G7" s="79"/>
      <c r="H7" s="76">
        <f>F7+1</f>
        <v>2019</v>
      </c>
    </row>
    <row r="8" spans="1:18" ht="17.25" customHeight="1" x14ac:dyDescent="0.25">
      <c r="D8" s="48" t="s">
        <v>83</v>
      </c>
      <c r="F8" s="48" t="s">
        <v>84</v>
      </c>
      <c r="H8" s="48" t="s">
        <v>85</v>
      </c>
    </row>
    <row r="9" spans="1:18" ht="15" customHeight="1" x14ac:dyDescent="0.25">
      <c r="A9" s="2" t="s">
        <v>172</v>
      </c>
      <c r="D9" s="31"/>
      <c r="F9" s="31"/>
      <c r="H9" s="31"/>
    </row>
    <row r="10" spans="1:18" ht="15" customHeight="1" x14ac:dyDescent="0.25">
      <c r="A10" s="1" t="s">
        <v>173</v>
      </c>
      <c r="D10" s="30">
        <v>213298</v>
      </c>
      <c r="E10" s="3"/>
      <c r="F10" s="30">
        <f>'Utility Fund - analysis by dept'!E15+'Utility Fund - analysis by dept'!E16</f>
        <v>221225</v>
      </c>
      <c r="G10" s="3"/>
      <c r="H10" s="30">
        <f>'Utility Fund - analysis by dept'!G15+'Utility Fund - analysis by dept'!G16</f>
        <v>218000</v>
      </c>
    </row>
    <row r="11" spans="1:18" ht="15" customHeight="1" x14ac:dyDescent="0.25">
      <c r="A11" s="1" t="s">
        <v>174</v>
      </c>
      <c r="D11" s="31">
        <v>511284</v>
      </c>
      <c r="F11" s="31">
        <f>'Utility Fund - analysis by dept'!K15+'Utility Fund - analysis by dept'!K16</f>
        <v>563006</v>
      </c>
      <c r="H11" s="31">
        <f>'Utility Fund - analysis by dept'!M15+'Utility Fund - analysis by dept'!M16</f>
        <v>573500</v>
      </c>
      <c r="J11" s="49"/>
      <c r="L11" s="49"/>
      <c r="M11" s="169"/>
      <c r="N11" s="49"/>
    </row>
    <row r="12" spans="1:18" ht="15" customHeight="1" x14ac:dyDescent="0.25">
      <c r="A12" s="1" t="s">
        <v>175</v>
      </c>
      <c r="D12" s="31">
        <v>267329</v>
      </c>
      <c r="E12" s="31"/>
      <c r="F12" s="31">
        <f>'Utility Fund - analysis by dept'!Q15</f>
        <v>287887</v>
      </c>
      <c r="H12" s="31">
        <f>'Utility Fund - analysis by dept'!S15+'Utility Fund - analysis by dept'!S16</f>
        <v>303500</v>
      </c>
      <c r="J12" s="49"/>
      <c r="L12" s="49"/>
      <c r="M12" s="169"/>
      <c r="N12" s="49"/>
      <c r="P12" s="169"/>
      <c r="R12" s="170"/>
    </row>
    <row r="13" spans="1:18" ht="15" customHeight="1" x14ac:dyDescent="0.25">
      <c r="A13" s="1" t="s">
        <v>176</v>
      </c>
      <c r="D13" s="31">
        <v>7123</v>
      </c>
      <c r="F13" s="31">
        <f>'Utility Fund - analysis by dept'!AC17</f>
        <v>3200</v>
      </c>
      <c r="G13" s="4" t="s">
        <v>19</v>
      </c>
      <c r="H13" s="31">
        <f>'Utility Fund - analysis by dept'!AE17</f>
        <v>2800</v>
      </c>
      <c r="P13" s="169"/>
    </row>
    <row r="14" spans="1:18" ht="17.25" customHeight="1" x14ac:dyDescent="0.4">
      <c r="A14" s="1" t="s">
        <v>5</v>
      </c>
      <c r="D14" s="45">
        <v>39122</v>
      </c>
      <c r="E14" s="37"/>
      <c r="F14" s="45">
        <f>'Utility Fund - analysis by dept'!AC18</f>
        <v>43832</v>
      </c>
      <c r="G14" s="37"/>
      <c r="H14" s="45">
        <f>'Utility Fund - analysis by dept'!AE18</f>
        <v>41300</v>
      </c>
    </row>
    <row r="15" spans="1:18" ht="17.25" customHeight="1" x14ac:dyDescent="0.4">
      <c r="A15" s="1" t="s">
        <v>177</v>
      </c>
      <c r="D15" s="45">
        <f>SUM(D10:D14)</f>
        <v>1038156</v>
      </c>
      <c r="E15" s="37"/>
      <c r="F15" s="45">
        <f>SUM(F10:F14)</f>
        <v>1119150</v>
      </c>
      <c r="G15" s="37"/>
      <c r="H15" s="45">
        <f>SUM(H10:H14)</f>
        <v>1139100</v>
      </c>
    </row>
    <row r="16" spans="1:18" ht="9.9499999999999993" customHeight="1" x14ac:dyDescent="0.25">
      <c r="D16" s="31"/>
      <c r="F16" s="31"/>
      <c r="H16" s="31"/>
      <c r="I16" s="31"/>
      <c r="K16" s="31"/>
    </row>
    <row r="17" spans="1:14" ht="15" customHeight="1" x14ac:dyDescent="0.25">
      <c r="A17" s="2" t="s">
        <v>178</v>
      </c>
      <c r="D17" s="31"/>
      <c r="F17" s="31"/>
      <c r="H17" s="31"/>
    </row>
    <row r="18" spans="1:14" ht="15" customHeight="1" x14ac:dyDescent="0.25">
      <c r="A18" s="44" t="s">
        <v>260</v>
      </c>
      <c r="D18" s="31">
        <v>186148</v>
      </c>
      <c r="F18" s="31">
        <f>'Utility Fund - analysis by dept'!AC22</f>
        <v>186555</v>
      </c>
      <c r="G18" s="31"/>
      <c r="H18" s="31">
        <f>'Utility Fund - analysis by dept'!AE22</f>
        <v>186700</v>
      </c>
      <c r="J18" s="178"/>
      <c r="L18" s="178"/>
    </row>
    <row r="19" spans="1:14" s="546" customFormat="1" ht="15" customHeight="1" x14ac:dyDescent="0.25">
      <c r="A19" s="44" t="s">
        <v>504</v>
      </c>
      <c r="D19" s="404">
        <v>0</v>
      </c>
      <c r="F19" s="573">
        <v>0</v>
      </c>
      <c r="G19" s="573"/>
      <c r="H19" s="573">
        <f>'Utility Fund - analysis by dept'!AE23</f>
        <v>17160</v>
      </c>
      <c r="J19" s="178"/>
      <c r="L19" s="178"/>
    </row>
    <row r="20" spans="1:14" ht="15" customHeight="1" x14ac:dyDescent="0.25">
      <c r="A20" s="44" t="s">
        <v>537</v>
      </c>
      <c r="D20" s="187">
        <f>'Utility Fund - analysis by dept'!AA29</f>
        <v>0</v>
      </c>
      <c r="F20" s="31">
        <f>'Utility Fund - analysis by dept'!AC29</f>
        <v>15953</v>
      </c>
      <c r="G20" s="31">
        <f>'Utility Fund - analysis by dept'!AD29</f>
        <v>0</v>
      </c>
      <c r="H20" s="31">
        <f>'Utility Fund - analysis by dept'!AE29</f>
        <v>27953</v>
      </c>
    </row>
    <row r="21" spans="1:14" ht="15" customHeight="1" x14ac:dyDescent="0.25">
      <c r="A21" s="44" t="s">
        <v>261</v>
      </c>
      <c r="D21" s="31">
        <v>14131</v>
      </c>
      <c r="F21" s="31">
        <f>'Utility Fund - analysis by dept'!AC24</f>
        <v>14046</v>
      </c>
      <c r="H21" s="31">
        <f>'Utility Fund - analysis by dept'!AE24</f>
        <v>14150</v>
      </c>
    </row>
    <row r="22" spans="1:14" ht="15" customHeight="1" x14ac:dyDescent="0.25">
      <c r="A22" s="44" t="s">
        <v>262</v>
      </c>
      <c r="D22" s="31">
        <v>38903</v>
      </c>
      <c r="F22" s="31">
        <f>'Utility Fund - analysis by dept'!AC25</f>
        <v>34553</v>
      </c>
      <c r="H22" s="31">
        <f>'Utility Fund - analysis by dept'!AE25</f>
        <v>34650</v>
      </c>
    </row>
    <row r="23" spans="1:14" ht="15" customHeight="1" x14ac:dyDescent="0.25">
      <c r="A23" s="44" t="s">
        <v>525</v>
      </c>
      <c r="D23" s="31">
        <v>62479</v>
      </c>
      <c r="F23" s="31">
        <f>'Utility Fund - analysis by dept'!AC26</f>
        <v>71965</v>
      </c>
      <c r="G23" s="31"/>
      <c r="H23" s="31">
        <f>'Utility Fund - analysis by dept'!AE26</f>
        <v>68500</v>
      </c>
      <c r="J23" s="1">
        <f>D23/D10</f>
        <v>0.2929188271807518</v>
      </c>
      <c r="L23" s="1">
        <f>F23/F10</f>
        <v>0.32530229404452482</v>
      </c>
    </row>
    <row r="24" spans="1:14" ht="15" customHeight="1" x14ac:dyDescent="0.25">
      <c r="A24" s="44" t="s">
        <v>526</v>
      </c>
      <c r="D24" s="31">
        <v>130025</v>
      </c>
      <c r="F24" s="31">
        <f>'Utility Fund - analysis by dept'!AC27</f>
        <v>260207</v>
      </c>
      <c r="H24" s="31">
        <f>'Utility Fund - analysis by dept'!AE27</f>
        <v>163000</v>
      </c>
      <c r="J24" s="49">
        <f>F24-D24</f>
        <v>130182</v>
      </c>
      <c r="L24" s="49"/>
      <c r="N24" s="49"/>
    </row>
    <row r="25" spans="1:14" ht="15" customHeight="1" x14ac:dyDescent="0.25">
      <c r="A25" s="44" t="s">
        <v>527</v>
      </c>
      <c r="D25" s="31">
        <v>116712</v>
      </c>
      <c r="F25" s="31">
        <f>'Utility Fund - analysis by dept'!AC28</f>
        <v>56616</v>
      </c>
      <c r="H25" s="31">
        <f>'Utility Fund - analysis by dept'!AE28</f>
        <v>80000</v>
      </c>
    </row>
    <row r="26" spans="1:14" ht="15" customHeight="1" x14ac:dyDescent="0.25">
      <c r="A26" s="44" t="s">
        <v>529</v>
      </c>
      <c r="D26" s="31">
        <v>0</v>
      </c>
      <c r="F26" s="22">
        <f>'Utility Fund - analysis by dept'!AC30</f>
        <v>1149</v>
      </c>
      <c r="H26" s="22">
        <f>'Utility Fund - analysis by dept'!AE30</f>
        <v>1150</v>
      </c>
    </row>
    <row r="27" spans="1:14" ht="15" customHeight="1" x14ac:dyDescent="0.25">
      <c r="A27" s="44" t="s">
        <v>530</v>
      </c>
      <c r="D27" s="22">
        <f>'Utility Fund - analysis by dept'!AA31</f>
        <v>0</v>
      </c>
      <c r="F27" s="22">
        <f>'Utility Fund - analysis by dept'!AC31</f>
        <v>835</v>
      </c>
      <c r="H27" s="22">
        <f>'Utility Fund - analysis by dept'!AE31</f>
        <v>900</v>
      </c>
      <c r="L27" s="49"/>
    </row>
    <row r="28" spans="1:14" ht="15" customHeight="1" x14ac:dyDescent="0.25">
      <c r="A28" s="44" t="s">
        <v>531</v>
      </c>
      <c r="D28" s="72">
        <v>19296</v>
      </c>
      <c r="F28" s="31">
        <f>'Utility Fund - analysis by dept'!AC32</f>
        <v>14371</v>
      </c>
      <c r="H28" s="31">
        <f>'Utility Fund - analysis by dept'!AE32</f>
        <v>16500</v>
      </c>
    </row>
    <row r="29" spans="1:14" ht="15" customHeight="1" x14ac:dyDescent="0.25">
      <c r="A29" s="44" t="s">
        <v>270</v>
      </c>
      <c r="D29" s="72">
        <v>71520</v>
      </c>
      <c r="F29" s="31">
        <f>'Utility Fund - analysis by dept'!AC33</f>
        <v>74133</v>
      </c>
      <c r="H29" s="31">
        <f>'Utility Fund - analysis by dept'!AE33</f>
        <v>74650</v>
      </c>
      <c r="N29" s="1" t="s">
        <v>19</v>
      </c>
    </row>
    <row r="30" spans="1:14" ht="15" customHeight="1" x14ac:dyDescent="0.25">
      <c r="A30" s="44" t="s">
        <v>268</v>
      </c>
      <c r="D30" s="72">
        <v>29198</v>
      </c>
      <c r="E30" s="72"/>
      <c r="F30" s="72">
        <f>'Utility Fund - analysis by dept'!AC34</f>
        <v>25528</v>
      </c>
      <c r="G30" s="31"/>
      <c r="H30" s="31">
        <f>'Utility Fund - analysis by dept'!AE34</f>
        <v>25900</v>
      </c>
      <c r="J30" s="49"/>
    </row>
    <row r="31" spans="1:14" ht="15" customHeight="1" x14ac:dyDescent="0.25">
      <c r="A31" s="44" t="s">
        <v>532</v>
      </c>
      <c r="D31" s="72">
        <v>25324</v>
      </c>
      <c r="F31" s="31">
        <f>'Utility Fund - analysis by dept'!AC35</f>
        <v>24055</v>
      </c>
      <c r="H31" s="31">
        <f>'Utility Fund - analysis by dept'!AE35</f>
        <v>24500</v>
      </c>
    </row>
    <row r="32" spans="1:14" ht="15" customHeight="1" x14ac:dyDescent="0.25">
      <c r="A32" s="44" t="s">
        <v>269</v>
      </c>
      <c r="D32" s="72">
        <v>138390</v>
      </c>
      <c r="F32" s="31">
        <f>'Utility Fund - analysis by dept'!AC36</f>
        <v>122148</v>
      </c>
      <c r="G32" s="31"/>
      <c r="H32" s="31">
        <f>'Utility Fund - analysis by dept'!AE36</f>
        <v>124100</v>
      </c>
    </row>
    <row r="33" spans="1:10" ht="15" customHeight="1" x14ac:dyDescent="0.25">
      <c r="A33" s="44" t="s">
        <v>512</v>
      </c>
      <c r="D33" s="72">
        <v>12355</v>
      </c>
      <c r="F33" s="31">
        <f>'Utility Fund - analysis by dept'!AC37</f>
        <v>17060</v>
      </c>
      <c r="H33" s="31">
        <f>'Utility Fund - analysis by dept'!AE37</f>
        <v>17100</v>
      </c>
      <c r="J33" s="49"/>
    </row>
    <row r="34" spans="1:10" ht="15" customHeight="1" x14ac:dyDescent="0.25">
      <c r="A34" s="44" t="s">
        <v>267</v>
      </c>
      <c r="D34" s="72">
        <v>3006</v>
      </c>
      <c r="F34" s="31">
        <f>'Utility Fund - analysis by dept'!AC38</f>
        <v>1783</v>
      </c>
      <c r="H34" s="31">
        <f>'Utility Fund - analysis by dept'!AE38</f>
        <v>1800</v>
      </c>
    </row>
    <row r="35" spans="1:10" ht="15" customHeight="1" x14ac:dyDescent="0.25">
      <c r="A35" s="44" t="s">
        <v>271</v>
      </c>
      <c r="D35" s="72">
        <v>29886</v>
      </c>
      <c r="F35" s="31">
        <f>'Utility Fund - analysis by dept'!AC39</f>
        <v>26725</v>
      </c>
      <c r="H35" s="31">
        <f>'Utility Fund - analysis by dept'!AE39</f>
        <v>24700</v>
      </c>
    </row>
    <row r="36" spans="1:10" ht="15" customHeight="1" x14ac:dyDescent="0.25">
      <c r="A36" s="44" t="s">
        <v>538</v>
      </c>
      <c r="D36" s="31">
        <v>1192</v>
      </c>
      <c r="F36" s="72">
        <f>'Utility Fund - analysis by dept'!AC40</f>
        <v>6350</v>
      </c>
      <c r="H36" s="31">
        <f>'Utility Fund - analysis by dept'!AE40</f>
        <v>1620</v>
      </c>
    </row>
    <row r="37" spans="1:10" ht="15" customHeight="1" x14ac:dyDescent="0.25">
      <c r="A37" s="44" t="s">
        <v>534</v>
      </c>
      <c r="D37" s="31">
        <v>1931</v>
      </c>
      <c r="F37" s="573">
        <f>'Utility Fund - analysis by dept'!AC41</f>
        <v>1650</v>
      </c>
      <c r="G37" s="573">
        <f>'Utility Fund - analysis by dept'!AD41</f>
        <v>0</v>
      </c>
      <c r="H37" s="573">
        <f>'Utility Fund - analysis by dept'!AE41</f>
        <v>1650</v>
      </c>
    </row>
    <row r="38" spans="1:10" ht="17.25" customHeight="1" x14ac:dyDescent="0.25">
      <c r="A38" s="44" t="s">
        <v>535</v>
      </c>
      <c r="D38" s="547">
        <v>176176</v>
      </c>
      <c r="E38" s="37"/>
      <c r="F38" s="547">
        <f>'Utility Fund - analysis by dept'!AC42</f>
        <v>183900</v>
      </c>
      <c r="G38" s="37"/>
      <c r="H38" s="547">
        <f>+'Utility Fund - analysis by dept'!AE42</f>
        <v>189000</v>
      </c>
    </row>
    <row r="39" spans="1:10" s="546" customFormat="1" ht="17.25" customHeight="1" x14ac:dyDescent="0.4">
      <c r="A39" s="44" t="s">
        <v>539</v>
      </c>
      <c r="D39" s="549">
        <f>'Utility Fund - analysis by dept'!AA43</f>
        <v>0</v>
      </c>
      <c r="E39" s="548"/>
      <c r="F39" s="549">
        <f>'Utility Fund - analysis by dept'!AC43</f>
        <v>0</v>
      </c>
      <c r="G39" s="548"/>
      <c r="H39" s="549">
        <f>'Utility Fund - analysis by dept'!AE43</f>
        <v>0</v>
      </c>
    </row>
    <row r="40" spans="1:10" ht="17.25" customHeight="1" x14ac:dyDescent="0.4">
      <c r="A40" s="44" t="s">
        <v>540</v>
      </c>
      <c r="D40" s="45">
        <f>SUM(D18:D39)</f>
        <v>1056672</v>
      </c>
      <c r="E40" s="37"/>
      <c r="F40" s="45">
        <f>SUM(F18:F39)</f>
        <v>1139582</v>
      </c>
      <c r="G40" s="37"/>
      <c r="H40" s="45">
        <f>SUM(H18:H39)</f>
        <v>1095683</v>
      </c>
      <c r="J40" s="49"/>
    </row>
    <row r="41" spans="1:10" ht="9.9499999999999993" customHeight="1" x14ac:dyDescent="0.25">
      <c r="D41" s="36"/>
      <c r="E41" s="37"/>
      <c r="F41" s="36"/>
      <c r="G41" s="37"/>
      <c r="H41" s="36"/>
    </row>
    <row r="42" spans="1:10" ht="17.25" customHeight="1" x14ac:dyDescent="0.4">
      <c r="A42" s="44" t="s">
        <v>451</v>
      </c>
      <c r="D42" s="45">
        <f>D15-D40</f>
        <v>-18516</v>
      </c>
      <c r="E42" s="37"/>
      <c r="F42" s="45">
        <f>F15-F40</f>
        <v>-20432</v>
      </c>
      <c r="G42" s="37"/>
      <c r="H42" s="45">
        <f>H15-H40</f>
        <v>43417</v>
      </c>
      <c r="J42" s="49"/>
    </row>
    <row r="43" spans="1:10" ht="9.9499999999999993" customHeight="1" x14ac:dyDescent="0.25">
      <c r="D43" s="31"/>
      <c r="F43" s="31"/>
      <c r="H43" s="31"/>
    </row>
    <row r="44" spans="1:10" ht="15" customHeight="1" x14ac:dyDescent="0.25">
      <c r="A44" s="2" t="s">
        <v>15</v>
      </c>
      <c r="D44" s="31"/>
      <c r="F44" s="31"/>
      <c r="H44" s="31"/>
    </row>
    <row r="45" spans="1:10" ht="15" customHeight="1" x14ac:dyDescent="0.25">
      <c r="A45" s="1" t="s">
        <v>212</v>
      </c>
      <c r="D45" s="31">
        <v>263</v>
      </c>
      <c r="F45" s="587">
        <v>260</v>
      </c>
      <c r="G45" s="589"/>
      <c r="H45" s="587">
        <v>260</v>
      </c>
      <c r="J45" s="4"/>
    </row>
    <row r="46" spans="1:10" s="546" customFormat="1" ht="15" customHeight="1" x14ac:dyDescent="0.25">
      <c r="A46" s="546" t="s">
        <v>396</v>
      </c>
      <c r="D46" s="573">
        <v>-25228</v>
      </c>
      <c r="F46" s="587">
        <f>-4018-4018-14615</f>
        <v>-22651</v>
      </c>
      <c r="G46" s="589"/>
      <c r="H46" s="587">
        <f>-6787-13158</f>
        <v>-19945</v>
      </c>
      <c r="J46" s="4"/>
    </row>
    <row r="47" spans="1:10" ht="17.25" customHeight="1" x14ac:dyDescent="0.4">
      <c r="A47" s="44" t="s">
        <v>566</v>
      </c>
      <c r="B47" s="546"/>
      <c r="C47" s="546"/>
      <c r="D47" s="396">
        <v>-19819</v>
      </c>
      <c r="E47" s="145"/>
      <c r="F47" s="522">
        <v>0</v>
      </c>
      <c r="G47" s="378"/>
      <c r="H47" s="522">
        <v>0</v>
      </c>
      <c r="J47" s="4"/>
    </row>
    <row r="48" spans="1:10" ht="17.25" customHeight="1" x14ac:dyDescent="0.4">
      <c r="A48" s="1" t="s">
        <v>192</v>
      </c>
      <c r="D48" s="45">
        <f>SUM(D45:D47)</f>
        <v>-44784</v>
      </c>
      <c r="F48" s="45">
        <f>SUM(F45:F47)</f>
        <v>-22391</v>
      </c>
      <c r="H48" s="45">
        <f>SUM(H45:H47)</f>
        <v>-19685</v>
      </c>
      <c r="J48" s="49"/>
    </row>
    <row r="49" spans="1:8" ht="9.9499999999999993" customHeight="1" x14ac:dyDescent="0.25">
      <c r="D49" s="31"/>
      <c r="F49" s="31"/>
      <c r="H49" s="31"/>
    </row>
    <row r="50" spans="1:8" ht="17.25" customHeight="1" x14ac:dyDescent="0.4">
      <c r="A50" s="1" t="s">
        <v>483</v>
      </c>
      <c r="D50" s="45">
        <f>D42+D48</f>
        <v>-63300</v>
      </c>
      <c r="E50" s="145"/>
      <c r="F50" s="45">
        <f>F42+F48</f>
        <v>-42823</v>
      </c>
      <c r="G50" s="145"/>
      <c r="H50" s="45">
        <f>H42+H48</f>
        <v>23732</v>
      </c>
    </row>
    <row r="51" spans="1:8" ht="9.9499999999999993" customHeight="1" x14ac:dyDescent="0.25">
      <c r="A51" s="1" t="s">
        <v>193</v>
      </c>
      <c r="D51" s="31"/>
      <c r="F51" s="31"/>
      <c r="H51" s="36"/>
    </row>
    <row r="52" spans="1:8" ht="15" customHeight="1" x14ac:dyDescent="0.25">
      <c r="A52" s="2" t="s">
        <v>222</v>
      </c>
      <c r="D52" s="31"/>
      <c r="F52" s="31"/>
      <c r="H52" s="31"/>
    </row>
    <row r="53" spans="1:8" ht="15" customHeight="1" x14ac:dyDescent="0.25">
      <c r="A53" s="1" t="s">
        <v>343</v>
      </c>
      <c r="D53" s="291">
        <v>130000</v>
      </c>
      <c r="F53" s="31">
        <f>-'Sales Tax Funds'!P51</f>
        <v>135000</v>
      </c>
      <c r="G53" s="187"/>
      <c r="H53" s="587">
        <f>-'Sales Tax Funds'!F51</f>
        <v>175000</v>
      </c>
    </row>
    <row r="54" spans="1:8" ht="17.25" customHeight="1" x14ac:dyDescent="0.4">
      <c r="A54" s="1" t="s">
        <v>344</v>
      </c>
      <c r="D54" s="45">
        <v>-133737</v>
      </c>
      <c r="F54" s="45">
        <f>-'General Fund'!E30</f>
        <v>-150000</v>
      </c>
      <c r="H54" s="588">
        <f>-'General Fund'!G30</f>
        <v>-175000</v>
      </c>
    </row>
    <row r="55" spans="1:8" ht="17.25" customHeight="1" x14ac:dyDescent="0.4">
      <c r="A55" s="1" t="s">
        <v>452</v>
      </c>
      <c r="D55" s="45">
        <f>SUM(D53:D54)</f>
        <v>-3737</v>
      </c>
      <c r="F55" s="45">
        <f>SUM(F53:F54)</f>
        <v>-15000</v>
      </c>
      <c r="G55" s="195"/>
      <c r="H55" s="45">
        <f>SUM(H53:H54)</f>
        <v>0</v>
      </c>
    </row>
    <row r="56" spans="1:8" ht="9.9499999999999993" customHeight="1" x14ac:dyDescent="0.25"/>
    <row r="57" spans="1:8" ht="15" customHeight="1" x14ac:dyDescent="0.25">
      <c r="A57" s="1" t="s">
        <v>450</v>
      </c>
      <c r="D57" s="31">
        <f>D50+D55</f>
        <v>-67037</v>
      </c>
      <c r="F57" s="31">
        <f>F50+F55</f>
        <v>-57823</v>
      </c>
      <c r="H57" s="31">
        <f>H50+H55</f>
        <v>23732</v>
      </c>
    </row>
    <row r="58" spans="1:8" ht="9.9499999999999993" customHeight="1" x14ac:dyDescent="0.25">
      <c r="D58" s="31"/>
      <c r="F58" s="31"/>
      <c r="H58" s="31"/>
    </row>
    <row r="59" spans="1:8" ht="17.25" customHeight="1" x14ac:dyDescent="0.4">
      <c r="A59" s="2" t="s">
        <v>287</v>
      </c>
      <c r="D59" s="45">
        <v>3964121</v>
      </c>
      <c r="F59" s="45">
        <f>D61</f>
        <v>3897084</v>
      </c>
      <c r="H59" s="45">
        <f>F61</f>
        <v>3839261</v>
      </c>
    </row>
    <row r="60" spans="1:8" ht="9.9499999999999993" customHeight="1" x14ac:dyDescent="0.25"/>
    <row r="61" spans="1:8" ht="17.25" customHeight="1" x14ac:dyDescent="0.4">
      <c r="A61" s="2" t="s">
        <v>288</v>
      </c>
      <c r="D61" s="142">
        <f>SUM(D57:D59)</f>
        <v>3897084</v>
      </c>
      <c r="E61" s="3"/>
      <c r="F61" s="142">
        <f>SUM(F57:F59)</f>
        <v>3839261</v>
      </c>
      <c r="G61" s="3"/>
      <c r="H61" s="142">
        <f>SUM(H57:H59)</f>
        <v>3862993</v>
      </c>
    </row>
    <row r="62" spans="1:8" x14ac:dyDescent="0.25">
      <c r="F62" s="31"/>
      <c r="H62" s="31"/>
    </row>
    <row r="63" spans="1:8" x14ac:dyDescent="0.25">
      <c r="F63" s="31"/>
      <c r="H63" s="31"/>
    </row>
    <row r="64" spans="1:8" x14ac:dyDescent="0.25">
      <c r="F64" s="31"/>
      <c r="H64" s="31"/>
    </row>
    <row r="65" spans="1:26" x14ac:dyDescent="0.25">
      <c r="A65" s="1" t="s">
        <v>19</v>
      </c>
      <c r="F65" s="31"/>
      <c r="H65" s="31"/>
    </row>
    <row r="78" spans="1:26" x14ac:dyDescent="0.25">
      <c r="V78" s="3"/>
      <c r="W78" s="3"/>
      <c r="X78" s="3"/>
      <c r="Y78" s="3"/>
      <c r="Z78" s="3"/>
    </row>
    <row r="106" spans="22:26" x14ac:dyDescent="0.25">
      <c r="V106" s="3"/>
      <c r="W106" s="3"/>
      <c r="X106" s="3"/>
      <c r="Y106" s="3"/>
      <c r="Z106" s="3"/>
    </row>
  </sheetData>
  <mergeCells count="4">
    <mergeCell ref="A4:H4"/>
    <mergeCell ref="A3:H3"/>
    <mergeCell ref="A2:H2"/>
    <mergeCell ref="D6:H6"/>
  </mergeCells>
  <phoneticPr fontId="0" type="noConversion"/>
  <pageMargins left="1" right="1" top="0.5" bottom="0.25" header="0.25" footer="0"/>
  <pageSetup scale="83" orientation="portrait" r:id="rId1"/>
  <headerFooter alignWithMargins="0">
    <oddFooter>&amp;L&amp;"Times New Roman,Regular"&amp;9&amp;D &amp;C&amp;"Times New Roman,Regular"&amp;9&amp;Z&amp;F&amp;R&amp;"Times New Roman,Regular"&amp;9&amp;A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4">
    <tabColor rgb="FF7030A0"/>
  </sheetPr>
  <dimension ref="A1:AK58"/>
  <sheetViews>
    <sheetView view="pageBreakPreview" topLeftCell="A25" zoomScaleNormal="100" zoomScaleSheetLayoutView="100" workbookViewId="0">
      <selection activeCell="E23" sqref="E23"/>
    </sheetView>
  </sheetViews>
  <sheetFormatPr defaultColWidth="9.77734375" defaultRowHeight="15.75" x14ac:dyDescent="0.25"/>
  <cols>
    <col min="1" max="1" width="12.88671875" style="1" customWidth="1"/>
    <col min="2" max="2" width="12.109375" style="37" customWidth="1"/>
    <col min="3" max="3" width="8.77734375" style="22" customWidth="1"/>
    <col min="4" max="4" width="0.44140625" style="1" customWidth="1"/>
    <col min="5" max="5" width="8.77734375" style="22" customWidth="1"/>
    <col min="6" max="6" width="0.5546875" style="1" customWidth="1"/>
    <col min="7" max="7" width="8.77734375" style="22" customWidth="1"/>
    <col min="8" max="8" width="0.44140625" style="1" customWidth="1"/>
    <col min="9" max="9" width="8.77734375" style="22" customWidth="1"/>
    <col min="10" max="10" width="0.44140625" style="1" customWidth="1"/>
    <col min="11" max="11" width="8.77734375" style="22" customWidth="1"/>
    <col min="12" max="12" width="0.44140625" style="1" customWidth="1"/>
    <col min="13" max="13" width="8.77734375" style="22" customWidth="1"/>
    <col min="14" max="14" width="0.5546875" style="1" customWidth="1"/>
    <col min="15" max="15" width="9.21875" style="22" customWidth="1"/>
    <col min="16" max="16" width="0.33203125" style="1" customWidth="1"/>
    <col min="17" max="17" width="8.77734375" style="22" customWidth="1"/>
    <col min="18" max="18" width="0.33203125" style="1" customWidth="1"/>
    <col min="19" max="19" width="8.77734375" style="22" customWidth="1"/>
    <col min="20" max="20" width="0.5546875" style="1" customWidth="1"/>
    <col min="21" max="21" width="10.21875" style="22" customWidth="1"/>
    <col min="22" max="22" width="1.109375" style="1" customWidth="1"/>
    <col min="23" max="23" width="9.77734375" style="22" customWidth="1"/>
    <col min="24" max="24" width="0.5546875" style="1" customWidth="1"/>
    <col min="25" max="25" width="10.21875" style="22" customWidth="1"/>
    <col min="26" max="26" width="0.21875" style="1" customWidth="1"/>
    <col min="27" max="27" width="11.21875" style="22" bestFit="1" customWidth="1"/>
    <col min="28" max="28" width="0.44140625" style="1" customWidth="1"/>
    <col min="29" max="29" width="11.109375" style="22" customWidth="1"/>
    <col min="30" max="30" width="0.44140625" style="1" customWidth="1"/>
    <col min="31" max="31" width="11.88671875" style="22" customWidth="1"/>
    <col min="32" max="32" width="0.44140625" style="1" customWidth="1"/>
    <col min="33" max="33" width="7.77734375" style="1" bestFit="1" customWidth="1"/>
    <col min="34" max="16384" width="9.77734375" style="1"/>
  </cols>
  <sheetData>
    <row r="1" spans="1:33" x14ac:dyDescent="0.25">
      <c r="A1" s="19"/>
      <c r="B1" s="180"/>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8"/>
      <c r="AE1" s="20"/>
      <c r="AG1" s="18" t="s">
        <v>363</v>
      </c>
    </row>
    <row r="2" spans="1:33" x14ac:dyDescent="0.25">
      <c r="A2" s="19" t="s">
        <v>47</v>
      </c>
      <c r="B2" s="180"/>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8"/>
      <c r="AE2" s="20"/>
    </row>
    <row r="3" spans="1:33" x14ac:dyDescent="0.25">
      <c r="A3" s="18" t="s">
        <v>236</v>
      </c>
      <c r="B3" s="181"/>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20"/>
    </row>
    <row r="4" spans="1:33" x14ac:dyDescent="0.25">
      <c r="A4" s="19" t="s">
        <v>235</v>
      </c>
      <c r="B4" s="180"/>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8"/>
      <c r="AE4" s="20"/>
    </row>
    <row r="5" spans="1:33" x14ac:dyDescent="0.25">
      <c r="A5" s="19" t="str">
        <f>'General Fund'!A4:F4</f>
        <v>Year Ending September 30, 2019</v>
      </c>
      <c r="B5" s="180"/>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8"/>
      <c r="AE5" s="20"/>
    </row>
    <row r="6" spans="1:33" x14ac:dyDescent="0.25">
      <c r="A6" s="19"/>
      <c r="B6" s="180"/>
      <c r="C6" s="19"/>
      <c r="D6" s="19"/>
      <c r="E6" s="279"/>
      <c r="F6" s="19"/>
      <c r="G6" s="19"/>
      <c r="H6" s="19"/>
      <c r="I6" s="19"/>
      <c r="J6" s="19"/>
      <c r="K6" s="19"/>
      <c r="L6" s="19"/>
      <c r="M6" s="19"/>
      <c r="N6" s="19"/>
      <c r="O6" s="19"/>
      <c r="P6" s="19"/>
      <c r="Q6" s="19"/>
      <c r="R6" s="19"/>
      <c r="S6" s="19"/>
      <c r="T6" s="19"/>
      <c r="U6" s="19"/>
      <c r="V6" s="19"/>
      <c r="W6" s="19"/>
      <c r="X6" s="19"/>
      <c r="Y6" s="19"/>
      <c r="Z6" s="19"/>
      <c r="AA6" s="19"/>
      <c r="AB6" s="19"/>
      <c r="AC6" s="19"/>
      <c r="AD6" s="18"/>
      <c r="AE6" s="20"/>
    </row>
    <row r="7" spans="1:33" x14ac:dyDescent="0.25">
      <c r="A7" s="19"/>
      <c r="B7" s="280"/>
      <c r="C7" s="19"/>
      <c r="D7" s="19"/>
      <c r="E7" s="73"/>
      <c r="F7" s="19"/>
      <c r="G7" s="19"/>
      <c r="H7" s="19"/>
      <c r="I7" s="19"/>
      <c r="J7" s="19"/>
      <c r="K7" s="19"/>
      <c r="L7" s="19"/>
      <c r="M7" s="19"/>
      <c r="N7" s="19"/>
      <c r="O7" s="19"/>
      <c r="P7" s="19"/>
      <c r="Q7" s="19"/>
      <c r="R7" s="19"/>
      <c r="S7" s="19"/>
      <c r="T7" s="19"/>
      <c r="U7" s="19"/>
      <c r="V7" s="19"/>
      <c r="W7" s="19"/>
      <c r="X7" s="19"/>
      <c r="Y7" s="19"/>
      <c r="Z7" s="19"/>
      <c r="AA7" s="19"/>
      <c r="AB7" s="19"/>
      <c r="AC7" s="19"/>
      <c r="AD7" s="18"/>
      <c r="AE7" s="20"/>
    </row>
    <row r="8" spans="1:33" ht="18.75" x14ac:dyDescent="0.3">
      <c r="A8" s="1" t="s">
        <v>19</v>
      </c>
      <c r="B8" s="9"/>
      <c r="C8" s="24"/>
      <c r="D8" s="6" t="s">
        <v>194</v>
      </c>
      <c r="E8" s="24"/>
      <c r="F8" s="6"/>
      <c r="G8" s="24"/>
      <c r="H8" s="62"/>
      <c r="I8" s="24"/>
      <c r="J8" s="5" t="s">
        <v>195</v>
      </c>
      <c r="K8" s="33"/>
      <c r="L8" s="6"/>
      <c r="M8" s="24"/>
      <c r="N8" s="62"/>
      <c r="O8" s="24"/>
      <c r="P8" s="6" t="s">
        <v>196</v>
      </c>
      <c r="Q8" s="24"/>
      <c r="R8" s="6"/>
      <c r="S8" s="24"/>
      <c r="T8" s="62"/>
      <c r="U8" s="24"/>
      <c r="V8" s="6"/>
      <c r="W8" s="339" t="s">
        <v>497</v>
      </c>
      <c r="X8" s="6"/>
      <c r="Y8" s="24"/>
      <c r="Z8" s="62"/>
      <c r="AA8" s="67"/>
      <c r="AB8" s="68" t="s">
        <v>197</v>
      </c>
      <c r="AC8" s="67"/>
      <c r="AD8" s="68"/>
      <c r="AE8" s="67"/>
    </row>
    <row r="9" spans="1:33" x14ac:dyDescent="0.25">
      <c r="B9" s="281"/>
      <c r="C9" s="83"/>
      <c r="D9" s="82"/>
      <c r="E9" s="83"/>
      <c r="F9" s="82"/>
      <c r="G9" s="83"/>
      <c r="H9" s="84"/>
      <c r="I9" s="72"/>
      <c r="J9" s="82"/>
      <c r="K9" s="85" t="s">
        <v>19</v>
      </c>
      <c r="L9" s="82"/>
      <c r="M9" s="83"/>
      <c r="N9" s="84"/>
      <c r="O9" s="83"/>
      <c r="P9" s="82"/>
      <c r="Q9" s="85" t="s">
        <v>19</v>
      </c>
      <c r="R9" s="82"/>
      <c r="S9" s="83"/>
      <c r="T9" s="84"/>
      <c r="U9" s="83"/>
      <c r="V9" s="82"/>
      <c r="W9" s="85" t="s">
        <v>19</v>
      </c>
      <c r="X9" s="82"/>
      <c r="Y9" s="83"/>
      <c r="Z9" s="84"/>
      <c r="AA9" s="83"/>
      <c r="AB9" s="82"/>
      <c r="AC9" s="85" t="s">
        <v>19</v>
      </c>
      <c r="AD9" s="82"/>
      <c r="AE9" s="83"/>
    </row>
    <row r="10" spans="1:33" x14ac:dyDescent="0.25">
      <c r="C10" s="86">
        <v>2017</v>
      </c>
      <c r="D10" s="87"/>
      <c r="E10" s="86">
        <f>C10+1</f>
        <v>2018</v>
      </c>
      <c r="F10" s="87"/>
      <c r="G10" s="86">
        <f>E10+1</f>
        <v>2019</v>
      </c>
      <c r="H10" s="146"/>
      <c r="I10" s="86">
        <f>C10</f>
        <v>2017</v>
      </c>
      <c r="J10" s="87"/>
      <c r="K10" s="86">
        <f>E10</f>
        <v>2018</v>
      </c>
      <c r="L10" s="87"/>
      <c r="M10" s="86">
        <f>G10</f>
        <v>2019</v>
      </c>
      <c r="N10" s="146"/>
      <c r="O10" s="86">
        <f>I10</f>
        <v>2017</v>
      </c>
      <c r="P10" s="87"/>
      <c r="Q10" s="86">
        <f>K10</f>
        <v>2018</v>
      </c>
      <c r="R10" s="87"/>
      <c r="S10" s="86">
        <f>M10</f>
        <v>2019</v>
      </c>
      <c r="T10" s="146"/>
      <c r="U10" s="86">
        <f>O10</f>
        <v>2017</v>
      </c>
      <c r="V10" s="87"/>
      <c r="W10" s="86">
        <f>Q10</f>
        <v>2018</v>
      </c>
      <c r="X10" s="87"/>
      <c r="Y10" s="86">
        <f>S10</f>
        <v>2019</v>
      </c>
      <c r="Z10" s="146"/>
      <c r="AA10" s="86">
        <f>U10</f>
        <v>2017</v>
      </c>
      <c r="AB10" s="87"/>
      <c r="AC10" s="86">
        <f>W10</f>
        <v>2018</v>
      </c>
      <c r="AD10" s="87"/>
      <c r="AE10" s="86">
        <f>Y10</f>
        <v>2019</v>
      </c>
    </row>
    <row r="11" spans="1:33" ht="18" x14ac:dyDescent="0.4">
      <c r="C11" s="88" t="s">
        <v>83</v>
      </c>
      <c r="D11" s="82"/>
      <c r="E11" s="88" t="s">
        <v>84</v>
      </c>
      <c r="F11" s="82"/>
      <c r="G11" s="88" t="s">
        <v>85</v>
      </c>
      <c r="H11" s="89"/>
      <c r="I11" s="88" t="s">
        <v>83</v>
      </c>
      <c r="J11" s="90"/>
      <c r="K11" s="88" t="s">
        <v>84</v>
      </c>
      <c r="L11" s="90"/>
      <c r="M11" s="88" t="s">
        <v>85</v>
      </c>
      <c r="N11" s="89"/>
      <c r="O11" s="88" t="s">
        <v>83</v>
      </c>
      <c r="P11" s="90"/>
      <c r="Q11" s="88" t="s">
        <v>84</v>
      </c>
      <c r="R11" s="90"/>
      <c r="S11" s="88" t="s">
        <v>85</v>
      </c>
      <c r="T11" s="89"/>
      <c r="U11" s="88" t="s">
        <v>83</v>
      </c>
      <c r="V11" s="90"/>
      <c r="W11" s="88" t="s">
        <v>84</v>
      </c>
      <c r="X11" s="90"/>
      <c r="Y11" s="88" t="s">
        <v>85</v>
      </c>
      <c r="Z11" s="89"/>
      <c r="AA11" s="88" t="s">
        <v>83</v>
      </c>
      <c r="AB11" s="90"/>
      <c r="AC11" s="88" t="s">
        <v>84</v>
      </c>
      <c r="AD11" s="90"/>
      <c r="AE11" s="88" t="s">
        <v>85</v>
      </c>
    </row>
    <row r="12" spans="1:33" x14ac:dyDescent="0.25">
      <c r="C12" s="83"/>
      <c r="D12" s="82"/>
      <c r="E12" s="83"/>
      <c r="F12" s="82"/>
      <c r="G12" s="83"/>
      <c r="H12" s="84"/>
      <c r="I12" s="72"/>
      <c r="J12" s="82"/>
      <c r="K12" s="72"/>
      <c r="L12" s="82"/>
      <c r="M12" s="83"/>
      <c r="N12" s="84"/>
      <c r="O12" s="83"/>
      <c r="P12" s="82"/>
      <c r="Q12" s="83"/>
      <c r="R12" s="82"/>
      <c r="S12" s="83"/>
      <c r="T12" s="84"/>
      <c r="U12" s="83"/>
      <c r="V12" s="82"/>
      <c r="W12" s="83"/>
      <c r="X12" s="82"/>
      <c r="Y12" s="83"/>
      <c r="Z12" s="84"/>
      <c r="AA12" s="83"/>
      <c r="AB12" s="82"/>
      <c r="AC12" s="83"/>
      <c r="AD12" s="82"/>
      <c r="AE12" s="83"/>
    </row>
    <row r="13" spans="1:33" x14ac:dyDescent="0.25">
      <c r="A13" s="2" t="s">
        <v>0</v>
      </c>
      <c r="C13" s="83"/>
      <c r="D13" s="82"/>
      <c r="E13" s="83"/>
      <c r="F13" s="82"/>
      <c r="G13" s="83"/>
      <c r="H13" s="84"/>
      <c r="I13" s="72"/>
      <c r="J13" s="82"/>
      <c r="K13" s="72"/>
      <c r="L13" s="82"/>
      <c r="M13" s="83"/>
      <c r="N13" s="84"/>
      <c r="O13" s="83"/>
      <c r="P13" s="82"/>
      <c r="Q13" s="83"/>
      <c r="R13" s="82"/>
      <c r="S13" s="83"/>
      <c r="T13" s="84"/>
      <c r="U13" s="83"/>
      <c r="V13" s="82"/>
      <c r="W13" s="83"/>
      <c r="X13" s="82"/>
      <c r="Y13" s="83"/>
      <c r="Z13" s="84"/>
      <c r="AA13" s="83"/>
      <c r="AB13" s="82"/>
      <c r="AC13" s="83"/>
      <c r="AD13" s="82"/>
      <c r="AE13" s="83"/>
    </row>
    <row r="14" spans="1:33" x14ac:dyDescent="0.25">
      <c r="A14" s="1" t="s">
        <v>198</v>
      </c>
      <c r="C14" s="83"/>
      <c r="D14" s="82"/>
      <c r="E14" s="83"/>
      <c r="F14" s="82"/>
      <c r="G14" s="83"/>
      <c r="H14" s="84"/>
      <c r="I14" s="72"/>
      <c r="J14" s="82"/>
      <c r="K14" s="72"/>
      <c r="L14" s="82"/>
      <c r="M14" s="83"/>
      <c r="N14" s="84"/>
      <c r="O14" s="83"/>
      <c r="P14" s="82"/>
      <c r="Q14" s="83"/>
      <c r="R14" s="82"/>
      <c r="S14" s="83"/>
      <c r="T14" s="84"/>
      <c r="U14" s="83"/>
      <c r="V14" s="82"/>
      <c r="W14" s="83"/>
      <c r="X14" s="82"/>
      <c r="Y14" s="83"/>
      <c r="Z14" s="84"/>
      <c r="AA14" s="83"/>
      <c r="AB14" s="82"/>
      <c r="AC14" s="83"/>
      <c r="AD14" s="82"/>
      <c r="AE14" s="83"/>
    </row>
    <row r="15" spans="1:33" x14ac:dyDescent="0.25">
      <c r="A15" s="1" t="s">
        <v>199</v>
      </c>
      <c r="C15" s="91">
        <v>213298</v>
      </c>
      <c r="D15" s="92"/>
      <c r="E15" s="91">
        <f>'Estimating Schedule - UF'!H15</f>
        <v>221225</v>
      </c>
      <c r="F15" s="82"/>
      <c r="G15" s="525">
        <v>218000</v>
      </c>
      <c r="H15" s="93"/>
      <c r="I15" s="91">
        <v>511284</v>
      </c>
      <c r="J15" s="92"/>
      <c r="K15" s="91">
        <f>'Estimating Schedule - UF'!N15</f>
        <v>563006</v>
      </c>
      <c r="L15" s="82"/>
      <c r="M15" s="530">
        <v>555000</v>
      </c>
      <c r="N15" s="93"/>
      <c r="O15" s="91">
        <v>267329</v>
      </c>
      <c r="P15" s="92"/>
      <c r="Q15" s="91">
        <f>'Estimating Schedule - UF'!T15</f>
        <v>287887</v>
      </c>
      <c r="R15" s="82"/>
      <c r="S15" s="533">
        <v>288000</v>
      </c>
      <c r="T15" s="93"/>
      <c r="U15" s="184">
        <v>0</v>
      </c>
      <c r="V15" s="211"/>
      <c r="W15" s="184">
        <f>'Estimating Schedule - UF'!Z15</f>
        <v>0</v>
      </c>
      <c r="X15" s="212"/>
      <c r="Y15" s="184">
        <v>0</v>
      </c>
      <c r="Z15" s="93"/>
      <c r="AA15" s="91">
        <f>C15+I15+O15+U15</f>
        <v>991911</v>
      </c>
      <c r="AB15" s="92"/>
      <c r="AC15" s="91">
        <f>E15+K15+Q15+W15</f>
        <v>1072118</v>
      </c>
      <c r="AD15" s="92" t="s">
        <v>19</v>
      </c>
      <c r="AE15" s="91">
        <f>G15+M15+S15+Y15</f>
        <v>1061000</v>
      </c>
      <c r="AF15" s="3"/>
      <c r="AG15" s="218">
        <f>+AE15/AC15-1</f>
        <v>-1.0370127168837784E-2</v>
      </c>
    </row>
    <row r="16" spans="1:33" x14ac:dyDescent="0.25">
      <c r="A16" s="1" t="s">
        <v>214</v>
      </c>
      <c r="C16" s="210">
        <v>0</v>
      </c>
      <c r="D16" s="210"/>
      <c r="E16" s="210">
        <v>0</v>
      </c>
      <c r="F16" s="210"/>
      <c r="G16" s="526">
        <v>0</v>
      </c>
      <c r="H16" s="93"/>
      <c r="I16" s="210">
        <v>0</v>
      </c>
      <c r="J16" s="210"/>
      <c r="K16" s="210">
        <v>0</v>
      </c>
      <c r="L16" s="82"/>
      <c r="M16" s="528">
        <v>18500</v>
      </c>
      <c r="N16" s="93"/>
      <c r="O16" s="210">
        <v>0</v>
      </c>
      <c r="P16" s="210"/>
      <c r="Q16" s="210">
        <v>0</v>
      </c>
      <c r="R16" s="82"/>
      <c r="S16" s="531">
        <v>15500</v>
      </c>
      <c r="T16" s="93"/>
      <c r="U16" s="210">
        <v>0</v>
      </c>
      <c r="V16" s="210"/>
      <c r="W16" s="210">
        <v>0</v>
      </c>
      <c r="X16" s="210"/>
      <c r="Y16" s="210">
        <v>0</v>
      </c>
      <c r="Z16" s="93"/>
      <c r="AA16" s="210">
        <f>C16+I16+O16+U16</f>
        <v>0</v>
      </c>
      <c r="AB16" s="210"/>
      <c r="AC16" s="210">
        <v>0</v>
      </c>
      <c r="AD16" s="92"/>
      <c r="AE16" s="72">
        <f>G16+M16+S16+Y16</f>
        <v>34000</v>
      </c>
      <c r="AF16" s="3"/>
      <c r="AG16" s="218">
        <v>1</v>
      </c>
    </row>
    <row r="17" spans="1:37" x14ac:dyDescent="0.25">
      <c r="A17" s="1" t="s">
        <v>200</v>
      </c>
      <c r="C17" s="527">
        <v>600</v>
      </c>
      <c r="D17" s="527"/>
      <c r="E17" s="527">
        <f>'Estimating Schedule - UF'!H17</f>
        <v>500</v>
      </c>
      <c r="F17" s="210"/>
      <c r="G17" s="527">
        <v>500</v>
      </c>
      <c r="H17" s="95"/>
      <c r="I17" s="72">
        <v>5923</v>
      </c>
      <c r="J17" s="94"/>
      <c r="K17" s="72">
        <f>'Estimating Schedule - UF'!N17</f>
        <v>1900</v>
      </c>
      <c r="L17" s="82"/>
      <c r="M17" s="528">
        <v>1500</v>
      </c>
      <c r="N17" s="95"/>
      <c r="O17" s="72">
        <v>600</v>
      </c>
      <c r="P17" s="94"/>
      <c r="Q17" s="72">
        <f>'Estimating Schedule - UF'!T17</f>
        <v>800</v>
      </c>
      <c r="R17" s="82"/>
      <c r="S17" s="531">
        <v>800</v>
      </c>
      <c r="T17" s="95"/>
      <c r="U17" s="210">
        <v>0</v>
      </c>
      <c r="V17" s="210"/>
      <c r="W17" s="210">
        <f>'Estimating Schedule - UF'!Z17</f>
        <v>0</v>
      </c>
      <c r="X17" s="210"/>
      <c r="Y17" s="210">
        <v>0</v>
      </c>
      <c r="Z17" s="95"/>
      <c r="AA17" s="72">
        <f>C17+I17+O17+U17</f>
        <v>7123</v>
      </c>
      <c r="AB17" s="94"/>
      <c r="AC17" s="72">
        <f>E17+K17+Q17+W17</f>
        <v>3200</v>
      </c>
      <c r="AD17" s="94" t="s">
        <v>19</v>
      </c>
      <c r="AE17" s="72">
        <f>G17+M17+S17+Y17</f>
        <v>2800</v>
      </c>
      <c r="AF17" s="175"/>
      <c r="AG17" s="218">
        <f>+AE17/AC17-1</f>
        <v>-0.125</v>
      </c>
    </row>
    <row r="18" spans="1:37" ht="18" x14ac:dyDescent="0.4">
      <c r="A18" s="1" t="s">
        <v>5</v>
      </c>
      <c r="C18" s="75">
        <v>8831</v>
      </c>
      <c r="D18" s="82"/>
      <c r="E18" s="116">
        <f>'Estimating Schedule - UF'!H18</f>
        <v>10958</v>
      </c>
      <c r="F18" s="82"/>
      <c r="G18" s="524">
        <v>9900</v>
      </c>
      <c r="H18" s="95"/>
      <c r="I18" s="75">
        <v>18936</v>
      </c>
      <c r="J18" s="94"/>
      <c r="K18" s="116">
        <f>'Estimating Schedule - UF'!N18</f>
        <v>21916</v>
      </c>
      <c r="L18" s="82"/>
      <c r="M18" s="529">
        <v>20500</v>
      </c>
      <c r="N18" s="95"/>
      <c r="O18" s="75">
        <v>11355</v>
      </c>
      <c r="P18" s="94"/>
      <c r="Q18" s="116">
        <f>'Estimating Schedule - UF'!T18</f>
        <v>10958</v>
      </c>
      <c r="R18" s="82"/>
      <c r="S18" s="532">
        <v>10900</v>
      </c>
      <c r="T18" s="95"/>
      <c r="U18" s="172">
        <v>0</v>
      </c>
      <c r="V18" s="185"/>
      <c r="W18" s="182">
        <f>'Estimating Schedule - UF'!Z18</f>
        <v>0</v>
      </c>
      <c r="X18" s="186"/>
      <c r="Y18" s="172">
        <v>0</v>
      </c>
      <c r="Z18" s="95"/>
      <c r="AA18" s="75">
        <f>C18+I18+O18+U18</f>
        <v>39122</v>
      </c>
      <c r="AB18" s="94"/>
      <c r="AC18" s="75">
        <f>E18+K18+Q18+W18</f>
        <v>43832</v>
      </c>
      <c r="AD18" s="94" t="s">
        <v>19</v>
      </c>
      <c r="AE18" s="75">
        <f>G18+M18+S18+Y18</f>
        <v>41300</v>
      </c>
      <c r="AF18" s="4"/>
      <c r="AG18" s="317">
        <f>+AE18/AC18-1</f>
        <v>-5.7766015696294915E-2</v>
      </c>
      <c r="AH18" s="49"/>
    </row>
    <row r="19" spans="1:37" ht="18" x14ac:dyDescent="0.4">
      <c r="A19" s="1" t="s">
        <v>168</v>
      </c>
      <c r="C19" s="75">
        <f>SUM(C15:C18)</f>
        <v>222729</v>
      </c>
      <c r="D19" s="82"/>
      <c r="E19" s="75">
        <f>SUM(E15:E18)</f>
        <v>232683</v>
      </c>
      <c r="F19" s="82"/>
      <c r="G19" s="75">
        <f>SUM(G15:G18)</f>
        <v>228400</v>
      </c>
      <c r="H19" s="95"/>
      <c r="I19" s="75">
        <f>SUM(I15:I18)</f>
        <v>536143</v>
      </c>
      <c r="J19" s="94"/>
      <c r="K19" s="75">
        <f>SUM(K15:K18)</f>
        <v>586822</v>
      </c>
      <c r="L19" s="82"/>
      <c r="M19" s="75">
        <f>SUM(M15:M18)</f>
        <v>595500</v>
      </c>
      <c r="N19" s="95"/>
      <c r="O19" s="75">
        <f>SUM(O15:O18)</f>
        <v>279284</v>
      </c>
      <c r="P19" s="94"/>
      <c r="Q19" s="75">
        <f>SUM(Q15:Q18)</f>
        <v>299645</v>
      </c>
      <c r="R19" s="82"/>
      <c r="S19" s="75">
        <f>SUM(S15:S18)</f>
        <v>315200</v>
      </c>
      <c r="T19" s="95"/>
      <c r="U19" s="172">
        <f>SUM(U15:U18)</f>
        <v>0</v>
      </c>
      <c r="V19" s="185"/>
      <c r="W19" s="182">
        <f>SUM(W15:W18)</f>
        <v>0</v>
      </c>
      <c r="X19" s="186"/>
      <c r="Y19" s="172">
        <f>SUM(Y15:Y18)</f>
        <v>0</v>
      </c>
      <c r="Z19" s="95"/>
      <c r="AA19" s="75">
        <f>SUM(AA15:AA18)</f>
        <v>1038156</v>
      </c>
      <c r="AB19" s="94"/>
      <c r="AC19" s="75">
        <f>SUM(AC15:AC18)</f>
        <v>1119150</v>
      </c>
      <c r="AD19" s="94"/>
      <c r="AE19" s="75">
        <f>SUM(AE15:AE18)</f>
        <v>1139100</v>
      </c>
      <c r="AF19" s="4"/>
      <c r="AG19" s="317">
        <f>+AE19/AC19-1</f>
        <v>1.7826028682482287E-2</v>
      </c>
    </row>
    <row r="20" spans="1:37" x14ac:dyDescent="0.25">
      <c r="C20" s="72"/>
      <c r="D20" s="82"/>
      <c r="E20" s="72"/>
      <c r="F20" s="82"/>
      <c r="G20" s="72"/>
      <c r="H20" s="95"/>
      <c r="I20" s="72"/>
      <c r="J20" s="94"/>
      <c r="K20" s="72"/>
      <c r="L20" s="82"/>
      <c r="M20" s="72"/>
      <c r="N20" s="95"/>
      <c r="O20" s="72"/>
      <c r="P20" s="94"/>
      <c r="Q20" s="72"/>
      <c r="R20" s="82"/>
      <c r="S20" s="72"/>
      <c r="T20" s="95"/>
      <c r="U20" s="72"/>
      <c r="V20" s="94"/>
      <c r="W20" s="72"/>
      <c r="X20" s="82"/>
      <c r="Y20" s="72"/>
      <c r="Z20" s="95"/>
      <c r="AA20" s="72"/>
      <c r="AB20" s="94"/>
      <c r="AC20" s="72"/>
      <c r="AD20" s="94"/>
      <c r="AE20" s="72"/>
      <c r="AF20" s="4"/>
    </row>
    <row r="21" spans="1:37" x14ac:dyDescent="0.25">
      <c r="A21" s="2" t="s">
        <v>178</v>
      </c>
      <c r="C21" s="83"/>
      <c r="D21" s="82"/>
      <c r="E21" s="72"/>
      <c r="F21" s="82"/>
      <c r="G21" s="72"/>
      <c r="H21" s="95"/>
      <c r="I21" s="72"/>
      <c r="J21" s="94"/>
      <c r="K21" s="72"/>
      <c r="L21" s="82"/>
      <c r="M21" s="72"/>
      <c r="N21" s="95"/>
      <c r="O21" s="72"/>
      <c r="P21" s="94"/>
      <c r="Q21" s="72"/>
      <c r="R21" s="82"/>
      <c r="S21" s="72"/>
      <c r="T21" s="95"/>
      <c r="U21" s="72"/>
      <c r="V21" s="94"/>
      <c r="W21" s="72"/>
      <c r="X21" s="82"/>
      <c r="Y21" s="72"/>
      <c r="Z21" s="95"/>
      <c r="AA21" s="72"/>
      <c r="AB21" s="94"/>
      <c r="AC21" s="72"/>
      <c r="AD21" s="94"/>
      <c r="AE21" s="72"/>
      <c r="AI21" s="4"/>
    </row>
    <row r="22" spans="1:37" s="37" customFormat="1" x14ac:dyDescent="0.25">
      <c r="A22" s="593" t="s">
        <v>260</v>
      </c>
      <c r="C22" s="73">
        <v>61429</v>
      </c>
      <c r="D22" s="73"/>
      <c r="E22" s="73">
        <f>+'Estimating Schedule - UF'!H22</f>
        <v>61563</v>
      </c>
      <c r="F22" s="73"/>
      <c r="G22" s="538">
        <v>61600</v>
      </c>
      <c r="H22" s="73"/>
      <c r="I22" s="73">
        <v>78182</v>
      </c>
      <c r="J22" s="73"/>
      <c r="K22" s="73">
        <f>+'Estimating Schedule - UF'!N22</f>
        <v>78353</v>
      </c>
      <c r="L22" s="73"/>
      <c r="M22" s="539">
        <v>78400</v>
      </c>
      <c r="N22" s="95"/>
      <c r="O22" s="73">
        <v>46537</v>
      </c>
      <c r="P22" s="97"/>
      <c r="Q22" s="73">
        <f>+'Estimating Schedule - UF'!T22</f>
        <v>46639</v>
      </c>
      <c r="R22" s="90"/>
      <c r="S22" s="550">
        <v>46700</v>
      </c>
      <c r="T22" s="552"/>
      <c r="U22" s="208">
        <v>0</v>
      </c>
      <c r="V22" s="208"/>
      <c r="W22" s="208">
        <f>'[5]Estimating Schedule - UF'!Z22</f>
        <v>0</v>
      </c>
      <c r="X22" s="208"/>
      <c r="Y22" s="560">
        <v>0</v>
      </c>
      <c r="Z22" s="95"/>
      <c r="AA22" s="73">
        <f t="shared" ref="AA22:AA42" si="0">C22+I22+O22+U22</f>
        <v>186148</v>
      </c>
      <c r="AB22" s="97"/>
      <c r="AC22" s="73">
        <f t="shared" ref="AC22:AC42" si="1">E22+K22+Q22+W22</f>
        <v>186555</v>
      </c>
      <c r="AD22" s="97"/>
      <c r="AE22" s="73">
        <f>G22+M22+S22+Y22</f>
        <v>186700</v>
      </c>
      <c r="AG22" s="218">
        <f>+AE22/AC22-1</f>
        <v>7.7725067674405679E-4</v>
      </c>
      <c r="AI22" s="213">
        <f>C22/AA22</f>
        <v>0.33000085953112579</v>
      </c>
      <c r="AJ22" s="213">
        <f>I22/AA22</f>
        <v>0.41999914046887421</v>
      </c>
      <c r="AK22" s="37">
        <f>O22/AA22</f>
        <v>0.25</v>
      </c>
    </row>
    <row r="23" spans="1:37" s="548" customFormat="1" x14ac:dyDescent="0.25">
      <c r="A23" s="593" t="s">
        <v>504</v>
      </c>
      <c r="C23" s="558">
        <v>0</v>
      </c>
      <c r="D23" s="558"/>
      <c r="E23" s="558">
        <v>0</v>
      </c>
      <c r="F23" s="558"/>
      <c r="G23" s="543">
        <v>780</v>
      </c>
      <c r="H23" s="558"/>
      <c r="I23" s="558">
        <v>0</v>
      </c>
      <c r="J23" s="558"/>
      <c r="K23" s="558">
        <v>0</v>
      </c>
      <c r="L23" s="558"/>
      <c r="M23" s="558">
        <v>15600</v>
      </c>
      <c r="N23" s="552"/>
      <c r="O23" s="558">
        <v>0</v>
      </c>
      <c r="P23" s="97"/>
      <c r="Q23" s="558">
        <v>0</v>
      </c>
      <c r="R23" s="90"/>
      <c r="S23" s="558">
        <v>780</v>
      </c>
      <c r="T23" s="552"/>
      <c r="U23" s="560">
        <v>0</v>
      </c>
      <c r="V23" s="560"/>
      <c r="W23" s="560">
        <v>0</v>
      </c>
      <c r="X23" s="560"/>
      <c r="Y23" s="560">
        <v>0</v>
      </c>
      <c r="Z23" s="552"/>
      <c r="AA23" s="558">
        <f t="shared" ref="AA23" si="2">C23+I23+O23+U23</f>
        <v>0</v>
      </c>
      <c r="AB23" s="97"/>
      <c r="AC23" s="558">
        <f t="shared" ref="AC23" si="3">E23+K23+Q23+W23</f>
        <v>0</v>
      </c>
      <c r="AD23" s="97"/>
      <c r="AE23" s="558">
        <f>G23+M23+S23+Y23</f>
        <v>17160</v>
      </c>
      <c r="AG23" s="218">
        <v>1</v>
      </c>
      <c r="AI23" s="213"/>
      <c r="AJ23" s="213"/>
    </row>
    <row r="24" spans="1:37" s="37" customFormat="1" x14ac:dyDescent="0.25">
      <c r="A24" s="593" t="s">
        <v>261</v>
      </c>
      <c r="C24" s="73">
        <v>4741</v>
      </c>
      <c r="D24" s="90"/>
      <c r="E24" s="73">
        <f>'Estimating Schedule - UF'!H24</f>
        <v>4635</v>
      </c>
      <c r="F24" s="90"/>
      <c r="G24" s="534">
        <v>4700</v>
      </c>
      <c r="H24" s="95"/>
      <c r="I24" s="73">
        <v>5886</v>
      </c>
      <c r="J24" s="97"/>
      <c r="K24" s="73">
        <f>'Estimating Schedule - UF'!N24</f>
        <v>5899</v>
      </c>
      <c r="L24" s="90"/>
      <c r="M24" s="539">
        <v>5900</v>
      </c>
      <c r="N24" s="95"/>
      <c r="O24" s="73">
        <v>3504</v>
      </c>
      <c r="P24" s="97"/>
      <c r="Q24" s="73">
        <f>'Estimating Schedule - UF'!T24</f>
        <v>3512</v>
      </c>
      <c r="R24" s="90"/>
      <c r="S24" s="550">
        <v>3550</v>
      </c>
      <c r="T24" s="552"/>
      <c r="U24" s="208">
        <v>0</v>
      </c>
      <c r="V24" s="208"/>
      <c r="W24" s="208">
        <f>'[5]Estimating Schedule - UF'!Z24</f>
        <v>0</v>
      </c>
      <c r="X24" s="208"/>
      <c r="Y24" s="560">
        <v>0</v>
      </c>
      <c r="Z24" s="95"/>
      <c r="AA24" s="73">
        <f t="shared" si="0"/>
        <v>14131</v>
      </c>
      <c r="AB24" s="97"/>
      <c r="AC24" s="73">
        <f t="shared" si="1"/>
        <v>14046</v>
      </c>
      <c r="AD24" s="97"/>
      <c r="AE24" s="73">
        <f>G24+M24+S24+Y24</f>
        <v>14150</v>
      </c>
      <c r="AG24" s="218">
        <f t="shared" ref="AG24:AG44" si="4">+AE24/AC24-1</f>
        <v>7.4042432009113757E-3</v>
      </c>
      <c r="AI24" s="213">
        <f>G22/AE22</f>
        <v>0.32994108194965183</v>
      </c>
      <c r="AJ24" s="213">
        <f>M22/AE22</f>
        <v>0.41992501339046601</v>
      </c>
      <c r="AK24" s="37">
        <f>S22/AE22</f>
        <v>0.25013390465988217</v>
      </c>
    </row>
    <row r="25" spans="1:37" s="37" customFormat="1" x14ac:dyDescent="0.25">
      <c r="A25" s="593" t="s">
        <v>262</v>
      </c>
      <c r="C25" s="73">
        <v>9726</v>
      </c>
      <c r="D25" s="90"/>
      <c r="E25" s="73">
        <f>'Estimating Schedule - UF'!H25</f>
        <v>9485</v>
      </c>
      <c r="F25" s="90"/>
      <c r="G25" s="534">
        <v>9500</v>
      </c>
      <c r="H25" s="95"/>
      <c r="I25" s="73">
        <v>19451</v>
      </c>
      <c r="J25" s="97"/>
      <c r="K25" s="73">
        <f>'Estimating Schedule - UF'!N25</f>
        <v>16847</v>
      </c>
      <c r="L25" s="90"/>
      <c r="M25" s="539">
        <v>16900</v>
      </c>
      <c r="N25" s="95"/>
      <c r="O25" s="73">
        <v>9726</v>
      </c>
      <c r="P25" s="97"/>
      <c r="Q25" s="73">
        <f>'Estimating Schedule - UF'!T25</f>
        <v>8221</v>
      </c>
      <c r="R25" s="90"/>
      <c r="S25" s="550">
        <v>8250</v>
      </c>
      <c r="T25" s="552"/>
      <c r="U25" s="208">
        <v>0</v>
      </c>
      <c r="V25" s="208"/>
      <c r="W25" s="208">
        <f>'[5]Estimating Schedule - UF'!Z25</f>
        <v>0</v>
      </c>
      <c r="X25" s="208"/>
      <c r="Y25" s="560">
        <v>0</v>
      </c>
      <c r="Z25" s="95"/>
      <c r="AA25" s="73">
        <f t="shared" si="0"/>
        <v>38903</v>
      </c>
      <c r="AB25" s="97"/>
      <c r="AC25" s="73">
        <f t="shared" si="1"/>
        <v>34553</v>
      </c>
      <c r="AD25" s="97"/>
      <c r="AE25" s="73">
        <f>G25+M25+S25+Y25</f>
        <v>34650</v>
      </c>
      <c r="AF25" s="63"/>
      <c r="AG25" s="218">
        <f t="shared" si="4"/>
        <v>2.8072815674471396E-3</v>
      </c>
    </row>
    <row r="26" spans="1:37" s="37" customFormat="1" x14ac:dyDescent="0.25">
      <c r="A26" s="593" t="s">
        <v>525</v>
      </c>
      <c r="C26" s="73">
        <v>62479</v>
      </c>
      <c r="D26" s="90"/>
      <c r="E26" s="73">
        <f>'Estimating Schedule - UF'!H26</f>
        <v>71965</v>
      </c>
      <c r="F26" s="90"/>
      <c r="G26" s="534">
        <v>68500</v>
      </c>
      <c r="H26" s="95"/>
      <c r="I26" s="208">
        <v>0</v>
      </c>
      <c r="J26" s="208"/>
      <c r="K26" s="208">
        <f>'Estimating Schedule - UF'!N26</f>
        <v>0</v>
      </c>
      <c r="L26" s="208"/>
      <c r="M26" s="542">
        <v>0</v>
      </c>
      <c r="N26" s="95"/>
      <c r="O26" s="208">
        <v>0</v>
      </c>
      <c r="P26" s="208"/>
      <c r="Q26" s="208">
        <f>'Estimating Schedule - UF'!T26</f>
        <v>0</v>
      </c>
      <c r="R26" s="208"/>
      <c r="S26" s="554">
        <v>0</v>
      </c>
      <c r="T26" s="552"/>
      <c r="U26" s="208">
        <v>0</v>
      </c>
      <c r="V26" s="208"/>
      <c r="W26" s="208">
        <f>'[5]Estimating Schedule - UF'!Z26</f>
        <v>0</v>
      </c>
      <c r="X26" s="208"/>
      <c r="Y26" s="560">
        <v>0</v>
      </c>
      <c r="Z26" s="95"/>
      <c r="AA26" s="73">
        <f t="shared" si="0"/>
        <v>62479</v>
      </c>
      <c r="AB26" s="97"/>
      <c r="AC26" s="73">
        <f t="shared" si="1"/>
        <v>71965</v>
      </c>
      <c r="AD26" s="97"/>
      <c r="AE26" s="73">
        <f t="shared" ref="AE26:AE43" si="5">G26+M26+S26+Y26</f>
        <v>68500</v>
      </c>
      <c r="AF26" s="63"/>
      <c r="AG26" s="218">
        <f t="shared" si="4"/>
        <v>-4.8148405474883638E-2</v>
      </c>
    </row>
    <row r="27" spans="1:37" s="37" customFormat="1" x14ac:dyDescent="0.25">
      <c r="A27" s="593" t="s">
        <v>526</v>
      </c>
      <c r="C27" s="73">
        <v>14817</v>
      </c>
      <c r="D27" s="90"/>
      <c r="E27" s="73">
        <f>'Estimating Schedule - UF'!H27</f>
        <v>3515</v>
      </c>
      <c r="F27" s="90"/>
      <c r="G27" s="534">
        <v>4500</v>
      </c>
      <c r="H27" s="95"/>
      <c r="I27" s="73">
        <v>21528</v>
      </c>
      <c r="J27" s="97"/>
      <c r="K27" s="73">
        <f>'Estimating Schedule - UF'!N27</f>
        <v>188634</v>
      </c>
      <c r="L27" s="90"/>
      <c r="M27" s="539">
        <v>85000</v>
      </c>
      <c r="N27" s="95"/>
      <c r="O27" s="73">
        <v>86317</v>
      </c>
      <c r="P27" s="97"/>
      <c r="Q27" s="73">
        <f>'Estimating Schedule - UF'!T27</f>
        <v>67004</v>
      </c>
      <c r="R27" s="90"/>
      <c r="S27" s="550">
        <v>71000</v>
      </c>
      <c r="T27" s="552"/>
      <c r="U27" s="73">
        <v>7363</v>
      </c>
      <c r="V27" s="97"/>
      <c r="W27" s="73">
        <f>'Estimating Schedule - UF'!Z27</f>
        <v>1054</v>
      </c>
      <c r="X27" s="208"/>
      <c r="Y27" s="558">
        <v>2500</v>
      </c>
      <c r="Z27" s="95"/>
      <c r="AA27" s="73">
        <f t="shared" si="0"/>
        <v>130025</v>
      </c>
      <c r="AB27" s="97"/>
      <c r="AC27" s="73">
        <f t="shared" si="1"/>
        <v>260207</v>
      </c>
      <c r="AD27" s="97"/>
      <c r="AE27" s="73">
        <f>G27+M27+S27+Y27</f>
        <v>163000</v>
      </c>
      <c r="AF27" s="63"/>
      <c r="AG27" s="218">
        <f t="shared" si="4"/>
        <v>-0.37357565322992847</v>
      </c>
      <c r="AI27" s="9"/>
    </row>
    <row r="28" spans="1:37" s="37" customFormat="1" x14ac:dyDescent="0.25">
      <c r="A28" s="593" t="s">
        <v>527</v>
      </c>
      <c r="C28" s="208">
        <v>0</v>
      </c>
      <c r="D28" s="209"/>
      <c r="E28" s="208">
        <f>'Estimating Schedule - UF'!H28</f>
        <v>0</v>
      </c>
      <c r="F28" s="209"/>
      <c r="G28" s="536">
        <v>0</v>
      </c>
      <c r="H28" s="95"/>
      <c r="I28" s="73">
        <v>112426</v>
      </c>
      <c r="J28" s="97"/>
      <c r="K28" s="73">
        <f>'Estimating Schedule - UF'!N28</f>
        <v>51649</v>
      </c>
      <c r="L28" s="90"/>
      <c r="M28" s="539">
        <v>75000</v>
      </c>
      <c r="N28" s="95"/>
      <c r="O28" s="73">
        <v>4286</v>
      </c>
      <c r="P28" s="97"/>
      <c r="Q28" s="73">
        <f>'Estimating Schedule - UF'!T28</f>
        <v>4967</v>
      </c>
      <c r="R28" s="90"/>
      <c r="S28" s="550">
        <v>5000</v>
      </c>
      <c r="T28" s="552"/>
      <c r="U28" s="208">
        <v>0</v>
      </c>
      <c r="V28" s="208"/>
      <c r="W28" s="208">
        <v>0</v>
      </c>
      <c r="X28" s="208"/>
      <c r="Y28" s="560">
        <v>0</v>
      </c>
      <c r="Z28" s="95"/>
      <c r="AA28" s="73">
        <f t="shared" si="0"/>
        <v>116712</v>
      </c>
      <c r="AB28" s="97"/>
      <c r="AC28" s="73">
        <f t="shared" si="1"/>
        <v>56616</v>
      </c>
      <c r="AD28" s="97"/>
      <c r="AE28" s="73">
        <f t="shared" si="5"/>
        <v>80000</v>
      </c>
      <c r="AF28" s="63"/>
      <c r="AG28" s="218">
        <f t="shared" si="4"/>
        <v>0.41302811925957328</v>
      </c>
    </row>
    <row r="29" spans="1:37" s="37" customFormat="1" x14ac:dyDescent="0.25">
      <c r="A29" s="593" t="s">
        <v>528</v>
      </c>
      <c r="C29" s="210">
        <v>0</v>
      </c>
      <c r="D29" s="209"/>
      <c r="E29" s="208">
        <f>'Estimating Schedule - UF'!H29</f>
        <v>0</v>
      </c>
      <c r="F29" s="209"/>
      <c r="G29" s="537">
        <v>0</v>
      </c>
      <c r="H29" s="95"/>
      <c r="I29" s="208">
        <v>0</v>
      </c>
      <c r="J29" s="97" t="s">
        <v>19</v>
      </c>
      <c r="K29" s="73" t="str">
        <f>'Estimating Schedule - UF'!N29</f>
        <v xml:space="preserve"> </v>
      </c>
      <c r="L29" s="90"/>
      <c r="M29" s="541">
        <v>12000</v>
      </c>
      <c r="N29" s="95" t="s">
        <v>19</v>
      </c>
      <c r="O29" s="208">
        <v>0</v>
      </c>
      <c r="P29" s="208"/>
      <c r="Q29" s="296">
        <f>'Estimating Schedule - UF'!T29</f>
        <v>15953</v>
      </c>
      <c r="R29" s="90"/>
      <c r="S29" s="550">
        <v>15953</v>
      </c>
      <c r="T29" s="552"/>
      <c r="U29" s="208">
        <v>0</v>
      </c>
      <c r="V29" s="208"/>
      <c r="W29" s="208">
        <v>0</v>
      </c>
      <c r="X29" s="208"/>
      <c r="Y29" s="560">
        <v>0</v>
      </c>
      <c r="Z29" s="95"/>
      <c r="AA29" s="208">
        <f t="shared" si="0"/>
        <v>0</v>
      </c>
      <c r="AB29" s="97"/>
      <c r="AC29" s="73">
        <f t="shared" si="1"/>
        <v>15953</v>
      </c>
      <c r="AD29" s="97"/>
      <c r="AE29" s="73">
        <f t="shared" si="5"/>
        <v>27953</v>
      </c>
      <c r="AF29" s="63"/>
      <c r="AG29" s="218">
        <f t="shared" si="4"/>
        <v>0.75220961574625456</v>
      </c>
    </row>
    <row r="30" spans="1:37" s="37" customFormat="1" x14ac:dyDescent="0.25">
      <c r="A30" s="593" t="s">
        <v>529</v>
      </c>
      <c r="C30" s="208">
        <v>0</v>
      </c>
      <c r="D30" s="209"/>
      <c r="E30" s="208">
        <f>'Estimating Schedule - UF'!H30</f>
        <v>0</v>
      </c>
      <c r="F30" s="209"/>
      <c r="G30" s="536">
        <v>0</v>
      </c>
      <c r="H30" s="95"/>
      <c r="I30" s="208">
        <v>0</v>
      </c>
      <c r="J30" s="97"/>
      <c r="K30" s="208">
        <f>'Estimating Schedule - UF'!N30</f>
        <v>0</v>
      </c>
      <c r="L30" s="208"/>
      <c r="M30" s="542">
        <v>0</v>
      </c>
      <c r="N30" s="95"/>
      <c r="O30" s="208">
        <v>0</v>
      </c>
      <c r="P30" s="208"/>
      <c r="Q30" s="208">
        <f>'Estimating Schedule - UF'!T30</f>
        <v>0</v>
      </c>
      <c r="R30" s="90"/>
      <c r="S30" s="554">
        <v>0</v>
      </c>
      <c r="T30" s="552"/>
      <c r="U30" s="73">
        <v>0</v>
      </c>
      <c r="V30" s="97"/>
      <c r="W30" s="73">
        <f>'Estimating Schedule - UF'!Z30</f>
        <v>1149</v>
      </c>
      <c r="X30" s="90"/>
      <c r="Y30" s="558">
        <v>1150</v>
      </c>
      <c r="Z30" s="95"/>
      <c r="AA30" s="73">
        <f t="shared" si="0"/>
        <v>0</v>
      </c>
      <c r="AB30" s="97"/>
      <c r="AC30" s="73">
        <f t="shared" si="1"/>
        <v>1149</v>
      </c>
      <c r="AD30" s="97"/>
      <c r="AE30" s="73">
        <f>G30+M30+S30+Y30</f>
        <v>1150</v>
      </c>
      <c r="AF30" s="63"/>
      <c r="AG30" s="218">
        <f t="shared" si="4"/>
        <v>8.7032201914705176E-4</v>
      </c>
    </row>
    <row r="31" spans="1:37" s="37" customFormat="1" x14ac:dyDescent="0.25">
      <c r="A31" s="593" t="s">
        <v>530</v>
      </c>
      <c r="C31" s="210">
        <v>0</v>
      </c>
      <c r="D31" s="209"/>
      <c r="E31" s="208">
        <f>'Estimating Schedule - UF'!H31</f>
        <v>0</v>
      </c>
      <c r="F31" s="209"/>
      <c r="G31" s="537">
        <v>0</v>
      </c>
      <c r="H31" s="95"/>
      <c r="I31" s="208">
        <v>0</v>
      </c>
      <c r="J31" s="97"/>
      <c r="K31" s="208">
        <f>'Estimating Schedule - UF'!N31</f>
        <v>0</v>
      </c>
      <c r="L31" s="208"/>
      <c r="M31" s="542">
        <v>0</v>
      </c>
      <c r="N31" s="95"/>
      <c r="O31" s="208">
        <v>0</v>
      </c>
      <c r="P31" s="208"/>
      <c r="Q31" s="208">
        <f>'Estimating Schedule - UF'!T31</f>
        <v>0</v>
      </c>
      <c r="R31" s="90"/>
      <c r="S31" s="554">
        <v>0</v>
      </c>
      <c r="T31" s="552"/>
      <c r="U31" s="73">
        <v>0</v>
      </c>
      <c r="V31" s="97"/>
      <c r="W31" s="73">
        <f>'Estimating Schedule - UF'!Z31</f>
        <v>835</v>
      </c>
      <c r="X31" s="90"/>
      <c r="Y31" s="558">
        <v>900</v>
      </c>
      <c r="Z31" s="95"/>
      <c r="AA31" s="73">
        <f t="shared" si="0"/>
        <v>0</v>
      </c>
      <c r="AB31" s="97"/>
      <c r="AC31" s="73">
        <f t="shared" si="1"/>
        <v>835</v>
      </c>
      <c r="AD31" s="97"/>
      <c r="AE31" s="73">
        <f>G31+M31+S31+Y31</f>
        <v>900</v>
      </c>
      <c r="AF31" s="63"/>
      <c r="AG31" s="218">
        <f t="shared" si="4"/>
        <v>7.7844311377245567E-2</v>
      </c>
    </row>
    <row r="32" spans="1:37" s="37" customFormat="1" x14ac:dyDescent="0.25">
      <c r="A32" s="593" t="s">
        <v>531</v>
      </c>
      <c r="C32" s="208">
        <v>0</v>
      </c>
      <c r="D32" s="209"/>
      <c r="E32" s="208">
        <f>'Estimating Schedule - UF'!H32</f>
        <v>0</v>
      </c>
      <c r="F32" s="209"/>
      <c r="G32" s="536">
        <v>0</v>
      </c>
      <c r="H32" s="95"/>
      <c r="I32" s="208">
        <v>0</v>
      </c>
      <c r="J32" s="97"/>
      <c r="K32" s="208">
        <f>'Estimating Schedule - UF'!N32</f>
        <v>0</v>
      </c>
      <c r="L32" s="208"/>
      <c r="M32" s="542">
        <v>0</v>
      </c>
      <c r="N32" s="95"/>
      <c r="O32" s="208">
        <v>0</v>
      </c>
      <c r="P32" s="208"/>
      <c r="Q32" s="208">
        <f>'Estimating Schedule - UF'!T32</f>
        <v>0</v>
      </c>
      <c r="R32" s="90"/>
      <c r="S32" s="554">
        <v>0</v>
      </c>
      <c r="T32" s="552"/>
      <c r="U32" s="73">
        <v>19296</v>
      </c>
      <c r="V32" s="97"/>
      <c r="W32" s="73">
        <f>'Estimating Schedule - UF'!Z32</f>
        <v>14371</v>
      </c>
      <c r="X32" s="90"/>
      <c r="Y32" s="558">
        <v>16500</v>
      </c>
      <c r="Z32" s="95"/>
      <c r="AA32" s="73">
        <f t="shared" si="0"/>
        <v>19296</v>
      </c>
      <c r="AB32" s="97"/>
      <c r="AC32" s="73">
        <f t="shared" si="1"/>
        <v>14371</v>
      </c>
      <c r="AD32" s="97"/>
      <c r="AE32" s="73">
        <f t="shared" si="5"/>
        <v>16500</v>
      </c>
      <c r="AF32" s="63"/>
      <c r="AG32" s="218">
        <f t="shared" si="4"/>
        <v>0.1481455709414794</v>
      </c>
    </row>
    <row r="33" spans="1:35" s="37" customFormat="1" x14ac:dyDescent="0.25">
      <c r="A33" s="593" t="s">
        <v>270</v>
      </c>
      <c r="C33" s="208">
        <v>0</v>
      </c>
      <c r="D33" s="209"/>
      <c r="E33" s="208">
        <f>'Estimating Schedule - UF'!H33</f>
        <v>0</v>
      </c>
      <c r="F33" s="209"/>
      <c r="G33" s="536">
        <v>0</v>
      </c>
      <c r="H33" s="95"/>
      <c r="I33" s="73">
        <v>33978</v>
      </c>
      <c r="J33" s="97"/>
      <c r="K33" s="73">
        <f>'Estimating Schedule - UF'!N33</f>
        <v>31539</v>
      </c>
      <c r="L33" s="90"/>
      <c r="M33" s="539">
        <v>32000</v>
      </c>
      <c r="N33" s="95"/>
      <c r="O33" s="73">
        <v>35122</v>
      </c>
      <c r="P33" s="97"/>
      <c r="Q33" s="73">
        <f>'Estimating Schedule - UF'!T33</f>
        <v>39948</v>
      </c>
      <c r="R33" s="90"/>
      <c r="S33" s="550">
        <v>39950</v>
      </c>
      <c r="T33" s="552"/>
      <c r="U33" s="73">
        <v>2420</v>
      </c>
      <c r="V33" s="97"/>
      <c r="W33" s="73">
        <f>'Estimating Schedule - UF'!Z33</f>
        <v>2646</v>
      </c>
      <c r="X33" s="90"/>
      <c r="Y33" s="558">
        <v>2700</v>
      </c>
      <c r="Z33" s="95"/>
      <c r="AA33" s="73">
        <f t="shared" si="0"/>
        <v>71520</v>
      </c>
      <c r="AB33" s="97"/>
      <c r="AC33" s="73">
        <f t="shared" si="1"/>
        <v>74133</v>
      </c>
      <c r="AD33" s="97"/>
      <c r="AE33" s="73">
        <f t="shared" si="5"/>
        <v>74650</v>
      </c>
      <c r="AF33" s="63"/>
      <c r="AG33" s="218">
        <f t="shared" si="4"/>
        <v>6.9739522210081617E-3</v>
      </c>
    </row>
    <row r="34" spans="1:35" s="37" customFormat="1" x14ac:dyDescent="0.25">
      <c r="A34" s="593" t="s">
        <v>268</v>
      </c>
      <c r="C34" s="208">
        <v>0</v>
      </c>
      <c r="D34" s="209"/>
      <c r="E34" s="208">
        <f>'Estimating Schedule - UF'!H34</f>
        <v>0</v>
      </c>
      <c r="F34" s="209"/>
      <c r="G34" s="536">
        <v>0</v>
      </c>
      <c r="H34" s="95"/>
      <c r="I34" s="73">
        <v>1150</v>
      </c>
      <c r="J34" s="97"/>
      <c r="K34" s="73">
        <f>'Estimating Schedule - UF'!N34</f>
        <v>2148</v>
      </c>
      <c r="L34" s="73"/>
      <c r="M34" s="539">
        <v>2150</v>
      </c>
      <c r="N34" s="95"/>
      <c r="O34" s="73">
        <v>3067</v>
      </c>
      <c r="P34" s="97"/>
      <c r="Q34" s="73">
        <f>'Estimating Schedule - UF'!T34</f>
        <v>2739</v>
      </c>
      <c r="R34" s="90"/>
      <c r="S34" s="550">
        <v>2750</v>
      </c>
      <c r="T34" s="552"/>
      <c r="U34" s="73">
        <v>24981</v>
      </c>
      <c r="V34" s="97"/>
      <c r="W34" s="73">
        <f>'Estimating Schedule - UF'!Z34</f>
        <v>20641</v>
      </c>
      <c r="X34" s="90"/>
      <c r="Y34" s="558">
        <v>21000</v>
      </c>
      <c r="Z34" s="95"/>
      <c r="AA34" s="73">
        <f t="shared" si="0"/>
        <v>29198</v>
      </c>
      <c r="AB34" s="97"/>
      <c r="AC34" s="73">
        <f t="shared" si="1"/>
        <v>25528</v>
      </c>
      <c r="AD34" s="97"/>
      <c r="AE34" s="73">
        <f t="shared" si="5"/>
        <v>25900</v>
      </c>
      <c r="AF34" s="63"/>
      <c r="AG34" s="218">
        <f t="shared" si="4"/>
        <v>1.4572234409276019E-2</v>
      </c>
    </row>
    <row r="35" spans="1:35" s="37" customFormat="1" x14ac:dyDescent="0.25">
      <c r="A35" s="593" t="s">
        <v>532</v>
      </c>
      <c r="C35" s="208">
        <v>0</v>
      </c>
      <c r="D35" s="209"/>
      <c r="E35" s="208">
        <f>'Estimating Schedule - UF'!H35</f>
        <v>0</v>
      </c>
      <c r="F35" s="209"/>
      <c r="G35" s="536">
        <v>0</v>
      </c>
      <c r="H35" s="95"/>
      <c r="I35" s="208">
        <v>0</v>
      </c>
      <c r="J35" s="208"/>
      <c r="K35" s="208">
        <f>'Estimating Schedule - UF'!N35</f>
        <v>0</v>
      </c>
      <c r="L35" s="208"/>
      <c r="M35" s="544">
        <v>0</v>
      </c>
      <c r="N35" s="208"/>
      <c r="O35" s="208">
        <v>0</v>
      </c>
      <c r="P35" s="208"/>
      <c r="Q35" s="208">
        <f>'Estimating Schedule - UF'!T35</f>
        <v>0</v>
      </c>
      <c r="R35" s="208"/>
      <c r="S35" s="554">
        <v>0</v>
      </c>
      <c r="T35" s="552"/>
      <c r="U35" s="73">
        <v>25324</v>
      </c>
      <c r="V35" s="97"/>
      <c r="W35" s="73">
        <f>'Estimating Schedule - UF'!Z35</f>
        <v>24055</v>
      </c>
      <c r="X35" s="73"/>
      <c r="Y35" s="558">
        <v>24500</v>
      </c>
      <c r="Z35" s="95"/>
      <c r="AA35" s="73">
        <f t="shared" si="0"/>
        <v>25324</v>
      </c>
      <c r="AB35" s="97"/>
      <c r="AC35" s="73">
        <f t="shared" si="1"/>
        <v>24055</v>
      </c>
      <c r="AD35" s="97"/>
      <c r="AE35" s="73">
        <f t="shared" si="5"/>
        <v>24500</v>
      </c>
      <c r="AF35" s="63"/>
      <c r="AG35" s="218">
        <f t="shared" si="4"/>
        <v>1.8499272500519748E-2</v>
      </c>
    </row>
    <row r="36" spans="1:35" s="37" customFormat="1" x14ac:dyDescent="0.25">
      <c r="A36" s="593" t="s">
        <v>269</v>
      </c>
      <c r="C36" s="73">
        <v>29062</v>
      </c>
      <c r="D36" s="90"/>
      <c r="E36" s="73">
        <f>'Estimating Schedule - UF'!H36</f>
        <v>25651</v>
      </c>
      <c r="F36" s="90"/>
      <c r="G36" s="534">
        <v>26000</v>
      </c>
      <c r="H36" s="95"/>
      <c r="I36" s="73">
        <v>45668</v>
      </c>
      <c r="J36" s="97"/>
      <c r="K36" s="73">
        <f>'Estimating Schedule - UF'!N36</f>
        <v>40309</v>
      </c>
      <c r="L36" s="90"/>
      <c r="M36" s="543">
        <v>41500</v>
      </c>
      <c r="N36" s="97"/>
      <c r="O36" s="73">
        <v>34598</v>
      </c>
      <c r="P36" s="97"/>
      <c r="Q36" s="73">
        <f>'Estimating Schedule - UF'!T36</f>
        <v>30537</v>
      </c>
      <c r="R36" s="90"/>
      <c r="S36" s="550">
        <v>30600</v>
      </c>
      <c r="T36" s="552"/>
      <c r="U36" s="73">
        <v>29062</v>
      </c>
      <c r="V36" s="97"/>
      <c r="W36" s="73">
        <f>'Estimating Schedule - UF'!Z36</f>
        <v>25651</v>
      </c>
      <c r="X36" s="208"/>
      <c r="Y36" s="558">
        <v>26000</v>
      </c>
      <c r="Z36" s="95"/>
      <c r="AA36" s="73">
        <f t="shared" si="0"/>
        <v>138390</v>
      </c>
      <c r="AB36" s="97"/>
      <c r="AC36" s="73">
        <f t="shared" si="1"/>
        <v>122148</v>
      </c>
      <c r="AD36" s="97"/>
      <c r="AE36" s="73">
        <f t="shared" si="5"/>
        <v>124100</v>
      </c>
      <c r="AF36" s="63"/>
      <c r="AG36" s="218">
        <f t="shared" si="4"/>
        <v>1.5980613681763067E-2</v>
      </c>
    </row>
    <row r="37" spans="1:35" s="37" customFormat="1" x14ac:dyDescent="0.25">
      <c r="A37" s="593" t="s">
        <v>512</v>
      </c>
      <c r="C37" s="210">
        <v>0</v>
      </c>
      <c r="D37" s="210"/>
      <c r="E37" s="210">
        <f>'Estimating Schedule - UF'!H37</f>
        <v>0</v>
      </c>
      <c r="F37" s="210"/>
      <c r="G37" s="537">
        <v>0</v>
      </c>
      <c r="H37" s="95"/>
      <c r="I37" s="210">
        <v>0</v>
      </c>
      <c r="J37" s="210"/>
      <c r="K37" s="210">
        <f>'Estimating Schedule - UF'!N37</f>
        <v>0</v>
      </c>
      <c r="L37" s="210"/>
      <c r="M37" s="545">
        <v>0</v>
      </c>
      <c r="N37" s="210"/>
      <c r="O37" s="210">
        <v>0</v>
      </c>
      <c r="P37" s="210"/>
      <c r="Q37" s="210">
        <f>'Estimating Schedule - UF'!T37</f>
        <v>0</v>
      </c>
      <c r="R37" s="210"/>
      <c r="S37" s="555">
        <v>0</v>
      </c>
      <c r="T37" s="552"/>
      <c r="U37" s="73">
        <v>12355</v>
      </c>
      <c r="V37" s="97"/>
      <c r="W37" s="73">
        <f>'Estimating Schedule - UF'!Z37</f>
        <v>17060</v>
      </c>
      <c r="X37" s="90"/>
      <c r="Y37" s="558">
        <v>17100</v>
      </c>
      <c r="Z37" s="95"/>
      <c r="AA37" s="73">
        <f t="shared" si="0"/>
        <v>12355</v>
      </c>
      <c r="AB37" s="97"/>
      <c r="AC37" s="73">
        <f t="shared" si="1"/>
        <v>17060</v>
      </c>
      <c r="AD37" s="97"/>
      <c r="AE37" s="73">
        <f t="shared" si="5"/>
        <v>17100</v>
      </c>
      <c r="AF37" s="63"/>
      <c r="AG37" s="218">
        <f t="shared" si="4"/>
        <v>2.3446658851113966E-3</v>
      </c>
    </row>
    <row r="38" spans="1:35" s="37" customFormat="1" x14ac:dyDescent="0.25">
      <c r="A38" s="593" t="s">
        <v>267</v>
      </c>
      <c r="C38" s="210">
        <v>0</v>
      </c>
      <c r="D38" s="210"/>
      <c r="E38" s="210">
        <f>'Estimating Schedule - UF'!H38</f>
        <v>0</v>
      </c>
      <c r="F38" s="210"/>
      <c r="G38" s="537">
        <v>0</v>
      </c>
      <c r="H38" s="95"/>
      <c r="I38" s="210">
        <v>0</v>
      </c>
      <c r="J38" s="210"/>
      <c r="K38" s="210">
        <f>'Estimating Schedule - UF'!N38</f>
        <v>0</v>
      </c>
      <c r="L38" s="210"/>
      <c r="M38" s="545">
        <v>0</v>
      </c>
      <c r="N38" s="210"/>
      <c r="O38" s="210">
        <v>0</v>
      </c>
      <c r="P38" s="210"/>
      <c r="Q38" s="210">
        <f>'Estimating Schedule - UF'!T38</f>
        <v>0</v>
      </c>
      <c r="R38" s="210"/>
      <c r="S38" s="555">
        <v>0</v>
      </c>
      <c r="T38" s="552"/>
      <c r="U38" s="73">
        <v>3006</v>
      </c>
      <c r="V38" s="97"/>
      <c r="W38" s="73">
        <f>'Estimating Schedule - UF'!Z38</f>
        <v>1783</v>
      </c>
      <c r="X38" s="90"/>
      <c r="Y38" s="558">
        <v>1800</v>
      </c>
      <c r="Z38" s="95"/>
      <c r="AA38" s="73">
        <f t="shared" si="0"/>
        <v>3006</v>
      </c>
      <c r="AB38" s="97"/>
      <c r="AC38" s="73">
        <f t="shared" si="1"/>
        <v>1783</v>
      </c>
      <c r="AD38" s="97"/>
      <c r="AE38" s="73">
        <f t="shared" si="5"/>
        <v>1800</v>
      </c>
      <c r="AF38" s="63"/>
      <c r="AG38" s="218">
        <f t="shared" si="4"/>
        <v>9.534492428491248E-3</v>
      </c>
    </row>
    <row r="39" spans="1:35" s="37" customFormat="1" x14ac:dyDescent="0.25">
      <c r="A39" s="593" t="s">
        <v>271</v>
      </c>
      <c r="C39" s="73">
        <v>13142</v>
      </c>
      <c r="D39" s="90"/>
      <c r="E39" s="73">
        <f>'Estimating Schedule - UF'!H39</f>
        <v>9667</v>
      </c>
      <c r="F39" s="90"/>
      <c r="G39" s="534">
        <v>8500</v>
      </c>
      <c r="H39" s="95"/>
      <c r="I39" s="73">
        <v>4916</v>
      </c>
      <c r="J39" s="97"/>
      <c r="K39" s="73">
        <f>'Estimating Schedule - UF'!N39</f>
        <v>5179</v>
      </c>
      <c r="L39" s="90"/>
      <c r="M39" s="543">
        <v>5000</v>
      </c>
      <c r="N39" s="97"/>
      <c r="O39" s="73">
        <v>10055</v>
      </c>
      <c r="P39" s="97"/>
      <c r="Q39" s="73">
        <f>'Estimating Schedule - UF'!T39</f>
        <v>11879</v>
      </c>
      <c r="R39" s="90"/>
      <c r="S39" s="550">
        <v>11200</v>
      </c>
      <c r="T39" s="552"/>
      <c r="U39" s="73">
        <v>1773</v>
      </c>
      <c r="V39" s="97"/>
      <c r="W39" s="73">
        <f>'Estimating Schedule - UF'!Z39</f>
        <v>0</v>
      </c>
      <c r="X39" s="90"/>
      <c r="Y39" s="558">
        <v>0</v>
      </c>
      <c r="Z39" s="95"/>
      <c r="AA39" s="73">
        <f t="shared" si="0"/>
        <v>29886</v>
      </c>
      <c r="AB39" s="97"/>
      <c r="AC39" s="73">
        <f t="shared" si="1"/>
        <v>26725</v>
      </c>
      <c r="AD39" s="97"/>
      <c r="AE39" s="73">
        <f t="shared" si="5"/>
        <v>24700</v>
      </c>
      <c r="AF39" s="63"/>
      <c r="AG39" s="218">
        <f t="shared" si="4"/>
        <v>-7.5771749298409685E-2</v>
      </c>
    </row>
    <row r="40" spans="1:35" s="37" customFormat="1" x14ac:dyDescent="0.25">
      <c r="A40" s="593" t="s">
        <v>533</v>
      </c>
      <c r="C40" s="73">
        <v>4962</v>
      </c>
      <c r="D40" s="90"/>
      <c r="E40" s="73">
        <f>'Estimating Schedule - UF'!H40</f>
        <v>1200</v>
      </c>
      <c r="F40" s="90"/>
      <c r="G40" s="534">
        <v>120</v>
      </c>
      <c r="H40" s="95"/>
      <c r="I40" s="288">
        <v>3770</v>
      </c>
      <c r="J40" s="210"/>
      <c r="K40" s="527">
        <f>'Estimating Schedule - UF'!N40</f>
        <v>3750</v>
      </c>
      <c r="L40" s="527"/>
      <c r="M40" s="604">
        <v>1500</v>
      </c>
      <c r="N40" s="95"/>
      <c r="O40" s="288">
        <v>0</v>
      </c>
      <c r="P40" s="210"/>
      <c r="Q40" s="527">
        <f>'Estimating Schedule - UF'!T40</f>
        <v>1400</v>
      </c>
      <c r="R40" s="210"/>
      <c r="S40" s="555">
        <v>0</v>
      </c>
      <c r="T40" s="552"/>
      <c r="U40" s="208">
        <v>0</v>
      </c>
      <c r="V40" s="208"/>
      <c r="W40" s="208">
        <f>'[5]Estimating Schedule - UF'!Z40</f>
        <v>0</v>
      </c>
      <c r="X40" s="208"/>
      <c r="Y40" s="560">
        <v>0</v>
      </c>
      <c r="Z40" s="95"/>
      <c r="AA40" s="73">
        <f t="shared" si="0"/>
        <v>8732</v>
      </c>
      <c r="AB40" s="97"/>
      <c r="AC40" s="73">
        <f t="shared" si="1"/>
        <v>6350</v>
      </c>
      <c r="AD40" s="97"/>
      <c r="AE40" s="73">
        <f t="shared" si="5"/>
        <v>1620</v>
      </c>
      <c r="AF40" s="63"/>
      <c r="AG40" s="218">
        <f t="shared" si="4"/>
        <v>-0.74488188976377945</v>
      </c>
    </row>
    <row r="41" spans="1:35" s="37" customFormat="1" x14ac:dyDescent="0.25">
      <c r="A41" s="593" t="s">
        <v>534</v>
      </c>
      <c r="C41" s="73">
        <v>579</v>
      </c>
      <c r="D41" s="90"/>
      <c r="E41" s="558">
        <f>'Estimating Schedule - UF'!H41</f>
        <v>450</v>
      </c>
      <c r="F41" s="90"/>
      <c r="G41" s="558">
        <v>450</v>
      </c>
      <c r="H41" s="552"/>
      <c r="I41" s="558">
        <v>869</v>
      </c>
      <c r="J41" s="97"/>
      <c r="K41" s="558">
        <f>'Estimating Schedule - UF'!N41</f>
        <v>750</v>
      </c>
      <c r="L41" s="90"/>
      <c r="M41" s="558">
        <v>750</v>
      </c>
      <c r="N41" s="552"/>
      <c r="O41" s="558">
        <v>483</v>
      </c>
      <c r="P41" s="97"/>
      <c r="Q41" s="558">
        <f>'Estimating Schedule - UF'!T41</f>
        <v>450</v>
      </c>
      <c r="R41" s="90"/>
      <c r="S41" s="558">
        <v>450</v>
      </c>
      <c r="T41" s="552"/>
      <c r="U41" s="208">
        <v>0</v>
      </c>
      <c r="V41" s="208"/>
      <c r="W41" s="208">
        <f>'[5]Estimating Schedule - UF'!Z41</f>
        <v>0</v>
      </c>
      <c r="X41" s="208"/>
      <c r="Y41" s="560">
        <v>0</v>
      </c>
      <c r="Z41" s="95"/>
      <c r="AA41" s="73">
        <f t="shared" si="0"/>
        <v>1931</v>
      </c>
      <c r="AB41" s="97"/>
      <c r="AC41" s="73">
        <f t="shared" si="1"/>
        <v>1650</v>
      </c>
      <c r="AD41" s="97"/>
      <c r="AE41" s="73">
        <f t="shared" si="5"/>
        <v>1650</v>
      </c>
      <c r="AF41" s="63"/>
      <c r="AG41" s="218">
        <f t="shared" si="4"/>
        <v>0</v>
      </c>
    </row>
    <row r="42" spans="1:35" s="37" customFormat="1" x14ac:dyDescent="0.25">
      <c r="A42" s="593" t="s">
        <v>535</v>
      </c>
      <c r="C42" s="73">
        <v>12159</v>
      </c>
      <c r="D42" s="90"/>
      <c r="E42" s="73">
        <f>'Estimating Schedule - UF'!H42</f>
        <v>12000</v>
      </c>
      <c r="F42" s="90"/>
      <c r="G42" s="534">
        <v>12000</v>
      </c>
      <c r="H42" s="95"/>
      <c r="I42" s="73">
        <v>62952</v>
      </c>
      <c r="J42" s="97"/>
      <c r="K42" s="73">
        <f>'Estimating Schedule - UF'!N42</f>
        <v>64700</v>
      </c>
      <c r="L42" s="90"/>
      <c r="M42" s="539">
        <v>67000</v>
      </c>
      <c r="N42" s="95"/>
      <c r="O42" s="73">
        <v>101065</v>
      </c>
      <c r="P42" s="97"/>
      <c r="Q42" s="73">
        <f>'Estimating Schedule - UF'!T42</f>
        <v>107200</v>
      </c>
      <c r="R42" s="90"/>
      <c r="S42" s="550">
        <v>110000</v>
      </c>
      <c r="T42" s="552"/>
      <c r="U42" s="208">
        <v>0</v>
      </c>
      <c r="V42" s="208"/>
      <c r="W42" s="208">
        <f>'[5]Estimating Schedule - UF'!Z42</f>
        <v>0</v>
      </c>
      <c r="X42" s="208"/>
      <c r="Y42" s="560">
        <v>0</v>
      </c>
      <c r="Z42" s="95"/>
      <c r="AA42" s="73">
        <f t="shared" si="0"/>
        <v>176176</v>
      </c>
      <c r="AB42" s="97"/>
      <c r="AC42" s="73">
        <f t="shared" si="1"/>
        <v>183900</v>
      </c>
      <c r="AD42" s="97"/>
      <c r="AE42" s="73">
        <f>G42+M42+S42+Y42</f>
        <v>189000</v>
      </c>
      <c r="AF42" s="63"/>
      <c r="AG42" s="218">
        <f t="shared" si="4"/>
        <v>2.7732463295269127E-2</v>
      </c>
    </row>
    <row r="43" spans="1:35" ht="18" x14ac:dyDescent="0.4">
      <c r="A43" s="44" t="s">
        <v>536</v>
      </c>
      <c r="C43" s="74">
        <v>26372</v>
      </c>
      <c r="D43" s="99"/>
      <c r="E43" s="75">
        <f>'Estimating Schedule - UF'!H43</f>
        <v>27311</v>
      </c>
      <c r="F43" s="99"/>
      <c r="G43" s="535">
        <v>28536</v>
      </c>
      <c r="H43" s="100"/>
      <c r="I43" s="74">
        <v>65301</v>
      </c>
      <c r="J43" s="101"/>
      <c r="K43" s="588">
        <f>'Estimating Schedule - UF'!N43</f>
        <v>54623</v>
      </c>
      <c r="L43" s="99"/>
      <c r="M43" s="540">
        <v>57076</v>
      </c>
      <c r="N43" s="100"/>
      <c r="O43" s="551">
        <v>33907</v>
      </c>
      <c r="P43" s="603"/>
      <c r="Q43" s="551">
        <f>'Estimating Schedule - UF'!T43</f>
        <v>27311</v>
      </c>
      <c r="R43" s="99"/>
      <c r="S43" s="551">
        <v>28538</v>
      </c>
      <c r="T43" s="553"/>
      <c r="U43" s="74">
        <v>-125580</v>
      </c>
      <c r="V43" s="101"/>
      <c r="W43" s="75">
        <f>'Estimating Schedule - UF'!Z43</f>
        <v>-109245</v>
      </c>
      <c r="X43" s="99"/>
      <c r="Y43" s="559">
        <v>-114150</v>
      </c>
      <c r="Z43" s="100"/>
      <c r="AA43" s="556">
        <f>C43+I43+O43+U43</f>
        <v>0</v>
      </c>
      <c r="AB43" s="172"/>
      <c r="AC43" s="588">
        <f>E43+K43+Q43+W43</f>
        <v>0</v>
      </c>
      <c r="AD43" s="172"/>
      <c r="AE43" s="561">
        <f t="shared" si="5"/>
        <v>0</v>
      </c>
      <c r="AF43" s="4"/>
      <c r="AG43" s="317">
        <v>0</v>
      </c>
    </row>
    <row r="44" spans="1:35" ht="18" x14ac:dyDescent="0.4">
      <c r="A44" s="1" t="s">
        <v>191</v>
      </c>
      <c r="C44" s="75">
        <f>SUM(C22:C43)</f>
        <v>239468</v>
      </c>
      <c r="D44" s="82"/>
      <c r="E44" s="75">
        <f>SUM(E22:E43)</f>
        <v>227442</v>
      </c>
      <c r="F44" s="82"/>
      <c r="G44" s="75">
        <f>SUM(G22:G43)</f>
        <v>225186</v>
      </c>
      <c r="H44" s="95"/>
      <c r="I44" s="75">
        <f>SUM(I22:I43)</f>
        <v>456077</v>
      </c>
      <c r="J44" s="94"/>
      <c r="K44" s="75">
        <f>SUM(K22:K43)</f>
        <v>544380</v>
      </c>
      <c r="L44" s="82"/>
      <c r="M44" s="75">
        <f>SUM(M22:M43)</f>
        <v>495776</v>
      </c>
      <c r="N44" s="95"/>
      <c r="O44" s="75">
        <f>SUM(O22:O43)</f>
        <v>368667</v>
      </c>
      <c r="P44" s="94"/>
      <c r="Q44" s="75">
        <f>SUM(Q22:Q43)</f>
        <v>367760</v>
      </c>
      <c r="R44" s="82"/>
      <c r="S44" s="75">
        <f>SUM(S22:S43)</f>
        <v>374721</v>
      </c>
      <c r="T44" s="95"/>
      <c r="U44" s="253">
        <f>SUM(U22:U43)</f>
        <v>0</v>
      </c>
      <c r="V44" s="185"/>
      <c r="W44" s="561">
        <f>SUM(W22:W43)</f>
        <v>0</v>
      </c>
      <c r="X44" s="186"/>
      <c r="Y44" s="561">
        <f>SUM(Y22:Y43)</f>
        <v>0</v>
      </c>
      <c r="Z44" s="95"/>
      <c r="AA44" s="75">
        <f>SUM(AA22:AA43)</f>
        <v>1064212</v>
      </c>
      <c r="AB44" s="94"/>
      <c r="AC44" s="75">
        <f>SUM(AC22:AC43)</f>
        <v>1139582</v>
      </c>
      <c r="AD44" s="94"/>
      <c r="AE44" s="75">
        <f>SUM(AE22:AE43)</f>
        <v>1095683</v>
      </c>
      <c r="AF44" s="4"/>
      <c r="AG44" s="317">
        <f t="shared" si="4"/>
        <v>-3.8522019477317149E-2</v>
      </c>
      <c r="AH44" s="49"/>
      <c r="AI44" s="49"/>
    </row>
    <row r="45" spans="1:35" x14ac:dyDescent="0.25">
      <c r="C45" s="72"/>
      <c r="D45" s="82"/>
      <c r="E45" s="72"/>
      <c r="F45" s="82"/>
      <c r="G45" s="72"/>
      <c r="H45" s="84"/>
      <c r="I45" s="72"/>
      <c r="J45" s="82"/>
      <c r="K45" s="72"/>
      <c r="L45" s="82"/>
      <c r="M45" s="72"/>
      <c r="N45" s="84"/>
      <c r="O45" s="72"/>
      <c r="P45" s="82"/>
      <c r="Q45" s="72"/>
      <c r="R45" s="82"/>
      <c r="S45" s="72"/>
      <c r="T45" s="84"/>
      <c r="U45" s="72"/>
      <c r="V45" s="82"/>
      <c r="W45" s="72"/>
      <c r="X45" s="82"/>
      <c r="Y45" s="72"/>
      <c r="Z45" s="84"/>
      <c r="AA45" s="72"/>
      <c r="AB45" s="82"/>
      <c r="AC45" s="72"/>
      <c r="AD45" s="82"/>
      <c r="AE45" s="72"/>
    </row>
    <row r="46" spans="1:35" ht="21.75" customHeight="1" x14ac:dyDescent="0.4">
      <c r="A46" s="2" t="s">
        <v>206</v>
      </c>
      <c r="C46" s="141">
        <f>C19-C44</f>
        <v>-16739</v>
      </c>
      <c r="D46" s="354"/>
      <c r="E46" s="141">
        <f>E19-E44</f>
        <v>5241</v>
      </c>
      <c r="F46" s="355"/>
      <c r="G46" s="141">
        <f>G19-G44</f>
        <v>3214</v>
      </c>
      <c r="H46" s="354"/>
      <c r="I46" s="141">
        <f>I19-I44</f>
        <v>80066</v>
      </c>
      <c r="J46" s="354"/>
      <c r="K46" s="141">
        <f>K19-K44</f>
        <v>42442</v>
      </c>
      <c r="L46" s="355"/>
      <c r="M46" s="141">
        <f>M19-M44</f>
        <v>99724</v>
      </c>
      <c r="N46" s="354"/>
      <c r="O46" s="141">
        <f>O19-O44</f>
        <v>-89383</v>
      </c>
      <c r="P46" s="354"/>
      <c r="Q46" s="141">
        <f>Q19-Q44</f>
        <v>-68115</v>
      </c>
      <c r="R46" s="355"/>
      <c r="S46" s="141">
        <f>S19-S44</f>
        <v>-59521</v>
      </c>
      <c r="T46" s="354"/>
      <c r="U46" s="292">
        <f>U19-U44</f>
        <v>0</v>
      </c>
      <c r="V46" s="356"/>
      <c r="W46" s="557">
        <f>W19-W44</f>
        <v>0</v>
      </c>
      <c r="X46" s="357"/>
      <c r="Y46" s="562">
        <f>Y19-Y44</f>
        <v>0</v>
      </c>
      <c r="Z46" s="354"/>
      <c r="AA46" s="141">
        <f>AA19-AA44</f>
        <v>-26056</v>
      </c>
      <c r="AB46" s="354"/>
      <c r="AC46" s="141">
        <f>AC19-AC44</f>
        <v>-20432</v>
      </c>
      <c r="AD46" s="355"/>
      <c r="AE46" s="141">
        <f>AE19-AE44</f>
        <v>43417</v>
      </c>
      <c r="AF46" s="358"/>
      <c r="AG46" s="359">
        <f>+AE46/AC46-1</f>
        <v>-3.124951057165231</v>
      </c>
    </row>
    <row r="47" spans="1:35" ht="18" x14ac:dyDescent="0.4">
      <c r="A47" s="2"/>
      <c r="C47" s="141"/>
      <c r="D47" s="92"/>
      <c r="E47" s="141"/>
      <c r="F47" s="82"/>
      <c r="G47" s="141"/>
      <c r="H47" s="179"/>
      <c r="I47" s="141"/>
      <c r="J47" s="92"/>
      <c r="K47" s="141"/>
      <c r="L47" s="82"/>
      <c r="M47" s="141"/>
      <c r="N47" s="179"/>
      <c r="O47" s="141"/>
      <c r="P47" s="92"/>
      <c r="Q47" s="141"/>
      <c r="R47" s="82"/>
      <c r="S47" s="141"/>
      <c r="T47" s="179"/>
      <c r="U47" s="141"/>
      <c r="V47" s="92"/>
      <c r="W47" s="141"/>
      <c r="X47" s="82"/>
      <c r="Y47" s="141"/>
      <c r="Z47" s="179"/>
      <c r="AA47" s="141"/>
      <c r="AB47" s="92"/>
      <c r="AC47" s="141"/>
      <c r="AD47" s="82"/>
      <c r="AE47" s="141"/>
    </row>
    <row r="48" spans="1:35" ht="18" x14ac:dyDescent="0.4">
      <c r="A48" s="2"/>
      <c r="C48" s="141"/>
      <c r="D48" s="92"/>
      <c r="E48" s="141"/>
      <c r="F48" s="82"/>
      <c r="G48" s="141"/>
      <c r="H48" s="179"/>
      <c r="I48" s="141"/>
      <c r="J48" s="92"/>
      <c r="K48" s="141"/>
      <c r="L48" s="82"/>
      <c r="M48" s="141"/>
      <c r="N48" s="179"/>
      <c r="O48" s="141"/>
      <c r="P48" s="92"/>
      <c r="Q48" s="141"/>
      <c r="R48" s="82"/>
      <c r="S48" s="141"/>
      <c r="T48" s="179"/>
      <c r="U48" s="141"/>
      <c r="V48" s="92"/>
      <c r="W48" s="141"/>
      <c r="X48" s="82"/>
      <c r="Y48" s="141"/>
      <c r="Z48" s="179"/>
      <c r="AA48" s="141"/>
      <c r="AB48" s="92"/>
      <c r="AC48" s="141"/>
      <c r="AD48" s="82"/>
      <c r="AE48" s="141"/>
    </row>
    <row r="49" spans="1:31" ht="18.75" thickBot="1" x14ac:dyDescent="0.45">
      <c r="A49" s="2"/>
      <c r="C49" s="141"/>
      <c r="D49" s="92"/>
      <c r="E49" s="141"/>
      <c r="F49" s="82"/>
      <c r="G49" s="141"/>
      <c r="H49" s="179"/>
      <c r="I49" s="141"/>
      <c r="J49" s="92"/>
      <c r="K49" s="141"/>
      <c r="L49" s="82"/>
      <c r="M49" s="141"/>
      <c r="N49" s="179"/>
      <c r="O49" s="141"/>
      <c r="P49" s="92"/>
      <c r="Q49" s="141"/>
      <c r="R49" s="82"/>
      <c r="S49" s="141"/>
      <c r="T49" s="179"/>
      <c r="U49" s="73"/>
      <c r="V49" s="92"/>
      <c r="W49" s="141"/>
      <c r="X49" s="82"/>
      <c r="Y49" s="141"/>
      <c r="Z49" s="179"/>
      <c r="AA49" s="141"/>
      <c r="AB49" s="92"/>
      <c r="AC49" s="141"/>
      <c r="AD49" s="82"/>
      <c r="AE49" s="141"/>
    </row>
    <row r="50" spans="1:31" ht="19.5" thickBot="1" x14ac:dyDescent="0.35">
      <c r="A50" s="102" t="s">
        <v>218</v>
      </c>
      <c r="B50" s="90"/>
      <c r="C50" s="103" t="s">
        <v>215</v>
      </c>
      <c r="D50" s="104"/>
      <c r="E50" s="103"/>
      <c r="F50" s="104"/>
    </row>
    <row r="51" spans="1:31" ht="18" x14ac:dyDescent="0.4">
      <c r="A51" s="82"/>
      <c r="B51" s="90"/>
      <c r="C51" s="106" t="s">
        <v>382</v>
      </c>
      <c r="D51" s="107"/>
      <c r="E51" s="106" t="s">
        <v>216</v>
      </c>
      <c r="F51" s="107"/>
    </row>
    <row r="52" spans="1:31" ht="18" x14ac:dyDescent="0.4">
      <c r="A52" s="82" t="s">
        <v>351</v>
      </c>
      <c r="B52" s="90"/>
      <c r="C52" s="106"/>
      <c r="D52" s="107"/>
      <c r="E52" s="106"/>
      <c r="F52" s="107"/>
    </row>
    <row r="53" spans="1:31" ht="18.75" x14ac:dyDescent="0.3">
      <c r="A53" s="82" t="s">
        <v>352</v>
      </c>
      <c r="B53" s="90"/>
      <c r="C53" s="83"/>
      <c r="D53" s="82"/>
      <c r="E53" s="129" t="s">
        <v>218</v>
      </c>
      <c r="F53" s="82"/>
    </row>
    <row r="54" spans="1:31" x14ac:dyDescent="0.25">
      <c r="A54" s="82" t="s">
        <v>353</v>
      </c>
      <c r="B54" s="90"/>
      <c r="C54" s="108">
        <f>G19/AE19</f>
        <v>0.2005091739092266</v>
      </c>
      <c r="D54" s="109"/>
      <c r="E54" s="108">
        <v>0.25</v>
      </c>
      <c r="F54" s="109"/>
      <c r="I54" s="64">
        <f>-E43/W43</f>
        <v>0.24999771156574671</v>
      </c>
      <c r="K54" s="22">
        <f>K57*E54</f>
        <v>31395</v>
      </c>
      <c r="M54" s="22">
        <f>M57*E54</f>
        <v>27311.25</v>
      </c>
      <c r="O54" s="572">
        <f>O57*I54</f>
        <v>28537.238775229987</v>
      </c>
    </row>
    <row r="55" spans="1:31" x14ac:dyDescent="0.25">
      <c r="A55" s="82" t="s">
        <v>354</v>
      </c>
      <c r="B55" s="90"/>
      <c r="C55" s="108">
        <f>M19/AE19</f>
        <v>0.52278114300763756</v>
      </c>
      <c r="D55" s="109"/>
      <c r="E55" s="108">
        <v>0.5</v>
      </c>
      <c r="F55" s="109"/>
      <c r="I55" s="64">
        <f>-K43/W43</f>
        <v>0.50000457686850652</v>
      </c>
      <c r="K55" s="22">
        <f>K57*E55</f>
        <v>62790</v>
      </c>
      <c r="M55" s="22">
        <f>M57*E55</f>
        <v>54622.5</v>
      </c>
      <c r="O55" s="572">
        <f>O57*I55</f>
        <v>57075.522449540018</v>
      </c>
    </row>
    <row r="56" spans="1:31" ht="18" x14ac:dyDescent="0.4">
      <c r="A56" s="82" t="s">
        <v>355</v>
      </c>
      <c r="B56" s="90"/>
      <c r="C56" s="111">
        <f>S19/AE19</f>
        <v>0.27670968308313582</v>
      </c>
      <c r="D56" s="112"/>
      <c r="E56" s="111">
        <v>0.25</v>
      </c>
      <c r="F56" s="109"/>
      <c r="I56" s="64">
        <f>-Q43/W43</f>
        <v>0.24999771156574671</v>
      </c>
      <c r="K56" s="191">
        <f>K57*E56</f>
        <v>31395</v>
      </c>
      <c r="M56" s="191">
        <f>M57*E56</f>
        <v>27311.25</v>
      </c>
      <c r="O56" s="191">
        <f>O57*I56</f>
        <v>28537.238775229987</v>
      </c>
    </row>
    <row r="57" spans="1:31" ht="18" x14ac:dyDescent="0.4">
      <c r="A57" s="82" t="s">
        <v>217</v>
      </c>
      <c r="B57" s="90"/>
      <c r="C57" s="114">
        <f>SUM(C54:C56)</f>
        <v>1</v>
      </c>
      <c r="D57" s="115"/>
      <c r="E57" s="114">
        <f>SUM(E54:E56)</f>
        <v>1</v>
      </c>
      <c r="F57" s="109"/>
      <c r="K57" s="303">
        <v>125580</v>
      </c>
      <c r="L57" s="304"/>
      <c r="M57" s="303">
        <v>109245</v>
      </c>
      <c r="O57" s="303">
        <v>114150</v>
      </c>
    </row>
    <row r="58" spans="1:31" x14ac:dyDescent="0.25">
      <c r="C58" s="64"/>
      <c r="D58" s="65"/>
      <c r="E58" s="64"/>
      <c r="F58" s="66"/>
    </row>
  </sheetData>
  <phoneticPr fontId="0" type="noConversion"/>
  <printOptions horizontalCentered="1"/>
  <pageMargins left="0" right="0" top="1" bottom="0.25" header="0.25" footer="0"/>
  <pageSetup scale="61" orientation="landscape" r:id="rId1"/>
  <headerFooter alignWithMargins="0">
    <oddFooter>&amp;L&amp;"Times New Roman,Regular"&amp;9&amp;D &amp;C&amp;"Times New Roman,Regular"&amp;9&amp;Z&amp;F&amp;R&amp;"Times New Roman,Regular"&amp;9&amp;A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E23" sqref="E23"/>
    </sheetView>
  </sheetViews>
  <sheetFormatPr defaultRowHeight="15.75" x14ac:dyDescent="0.25"/>
  <sheetData>
    <row r="1" spans="1:7" x14ac:dyDescent="0.25">
      <c r="A1" s="631" t="s">
        <v>336</v>
      </c>
      <c r="B1" s="631"/>
      <c r="C1" s="631"/>
      <c r="D1" s="631"/>
      <c r="E1" s="631"/>
      <c r="F1" s="631"/>
      <c r="G1" s="631"/>
    </row>
    <row r="29" spans="14:14" x14ac:dyDescent="0.25">
      <c r="N29" t="s">
        <v>19</v>
      </c>
    </row>
  </sheetData>
  <mergeCells count="1">
    <mergeCell ref="A1:G1"/>
  </mergeCells>
  <printOptions horizontalCentered="1" verticalCentered="1"/>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7030A0"/>
  </sheetPr>
  <dimension ref="A1:Q195"/>
  <sheetViews>
    <sheetView showGridLines="0" view="pageBreakPreview" topLeftCell="A154" zoomScaleNormal="75" zoomScaleSheetLayoutView="100" workbookViewId="0">
      <selection activeCell="E23" sqref="E23"/>
    </sheetView>
  </sheetViews>
  <sheetFormatPr defaultColWidth="9.77734375" defaultRowHeight="15.75" x14ac:dyDescent="0.25"/>
  <cols>
    <col min="1" max="1" width="30.6640625" style="1" customWidth="1"/>
    <col min="2" max="2" width="6.6640625" style="1" customWidth="1"/>
    <col min="3" max="3" width="10.77734375" style="1" bestFit="1" customWidth="1"/>
    <col min="4" max="4" width="0.88671875" style="1" customWidth="1"/>
    <col min="5" max="5" width="10.77734375" style="83" customWidth="1"/>
    <col min="6" max="6" width="0.88671875" style="1" customWidth="1"/>
    <col min="7" max="7" width="10.77734375" style="22" customWidth="1"/>
    <col min="8" max="8" width="0.88671875" style="1" customWidth="1"/>
    <col min="9" max="9" width="10.77734375" style="22" customWidth="1"/>
    <col min="10" max="10" width="0.88671875" style="1" customWidth="1"/>
    <col min="11" max="11" width="9" style="1" customWidth="1"/>
    <col min="12" max="12" width="10.77734375" style="1" customWidth="1"/>
    <col min="13" max="13" width="9.77734375" style="1"/>
    <col min="14" max="14" width="10.77734375" style="1" customWidth="1"/>
    <col min="15" max="16384" width="9.77734375" style="1"/>
  </cols>
  <sheetData>
    <row r="1" spans="1:11" x14ac:dyDescent="0.25">
      <c r="K1" s="20" t="s">
        <v>321</v>
      </c>
    </row>
    <row r="2" spans="1:11" x14ac:dyDescent="0.25">
      <c r="A2" s="623" t="s">
        <v>47</v>
      </c>
      <c r="B2" s="623"/>
      <c r="C2" s="623"/>
      <c r="D2" s="623"/>
      <c r="E2" s="623"/>
      <c r="F2" s="623"/>
      <c r="G2" s="623"/>
      <c r="H2" s="623"/>
      <c r="I2" s="623"/>
      <c r="J2" s="623"/>
      <c r="K2" s="623"/>
    </row>
    <row r="3" spans="1:11" x14ac:dyDescent="0.25">
      <c r="A3" s="623" t="s">
        <v>227</v>
      </c>
      <c r="B3" s="623"/>
      <c r="C3" s="623"/>
      <c r="D3" s="623"/>
      <c r="E3" s="623"/>
      <c r="F3" s="623"/>
      <c r="G3" s="623"/>
      <c r="H3" s="623"/>
      <c r="I3" s="623"/>
      <c r="J3" s="623"/>
      <c r="K3" s="623"/>
    </row>
    <row r="4" spans="1:11" x14ac:dyDescent="0.25">
      <c r="A4" s="632" t="s">
        <v>322</v>
      </c>
      <c r="B4" s="632"/>
      <c r="C4" s="632"/>
      <c r="D4" s="632"/>
      <c r="E4" s="632"/>
      <c r="F4" s="632"/>
      <c r="G4" s="632"/>
      <c r="H4" s="632"/>
      <c r="I4" s="632"/>
      <c r="J4" s="632"/>
      <c r="K4" s="632"/>
    </row>
    <row r="5" spans="1:11" x14ac:dyDescent="0.25">
      <c r="A5" s="623" t="s">
        <v>501</v>
      </c>
      <c r="B5" s="623"/>
      <c r="C5" s="623"/>
      <c r="D5" s="623"/>
      <c r="E5" s="623"/>
      <c r="F5" s="623"/>
      <c r="G5" s="623"/>
      <c r="H5" s="623"/>
      <c r="I5" s="623"/>
      <c r="J5" s="623"/>
      <c r="K5" s="623"/>
    </row>
    <row r="8" spans="1:11" x14ac:dyDescent="0.25">
      <c r="E8" s="120" t="s">
        <v>99</v>
      </c>
      <c r="F8" s="6"/>
      <c r="G8" s="24"/>
      <c r="H8" s="6"/>
      <c r="I8" s="24"/>
    </row>
    <row r="9" spans="1:11" x14ac:dyDescent="0.25">
      <c r="C9" s="7" t="s">
        <v>386</v>
      </c>
      <c r="E9" s="162" t="s">
        <v>349</v>
      </c>
      <c r="F9" s="77"/>
      <c r="G9" s="162" t="s">
        <v>345</v>
      </c>
      <c r="H9" s="77"/>
      <c r="I9" s="26">
        <v>2018</v>
      </c>
      <c r="K9" s="7" t="s">
        <v>384</v>
      </c>
    </row>
    <row r="10" spans="1:11" x14ac:dyDescent="0.25">
      <c r="C10" s="215" t="s">
        <v>85</v>
      </c>
      <c r="E10" s="127" t="s">
        <v>83</v>
      </c>
      <c r="G10" s="28" t="s">
        <v>84</v>
      </c>
      <c r="I10" s="360" t="s">
        <v>84</v>
      </c>
      <c r="K10" s="215" t="s">
        <v>385</v>
      </c>
    </row>
    <row r="11" spans="1:11" x14ac:dyDescent="0.25">
      <c r="A11" s="2" t="s">
        <v>0</v>
      </c>
    </row>
    <row r="12" spans="1:11" x14ac:dyDescent="0.25">
      <c r="A12" s="1" t="s">
        <v>1</v>
      </c>
      <c r="C12" s="91">
        <v>150000</v>
      </c>
      <c r="E12" s="91">
        <f>E51</f>
        <v>151087</v>
      </c>
      <c r="G12" s="30">
        <f>I12-E12</f>
        <v>18172</v>
      </c>
      <c r="I12" s="30">
        <f>I51</f>
        <v>169259</v>
      </c>
      <c r="K12" s="216">
        <f t="shared" ref="K12:K17" si="0">+I12/C12-1</f>
        <v>0.12839333333333336</v>
      </c>
    </row>
    <row r="13" spans="1:11" x14ac:dyDescent="0.25">
      <c r="A13" s="1" t="s">
        <v>2</v>
      </c>
      <c r="C13" s="72">
        <v>96600</v>
      </c>
      <c r="E13" s="72">
        <f>E56</f>
        <v>100195</v>
      </c>
      <c r="G13" s="587">
        <f>I13-E13</f>
        <v>100</v>
      </c>
      <c r="I13" s="31">
        <f>I56</f>
        <v>100295</v>
      </c>
      <c r="K13" s="216">
        <f t="shared" si="0"/>
        <v>3.8250517598343636E-2</v>
      </c>
    </row>
    <row r="14" spans="1:11" x14ac:dyDescent="0.25">
      <c r="A14" s="1" t="s">
        <v>3</v>
      </c>
      <c r="C14" s="72">
        <v>119670</v>
      </c>
      <c r="E14" s="72">
        <f>E66</f>
        <v>89586</v>
      </c>
      <c r="G14" s="31">
        <f>I14-E14</f>
        <v>21000</v>
      </c>
      <c r="I14" s="31">
        <f>I66</f>
        <v>110586</v>
      </c>
      <c r="K14" s="216">
        <f t="shared" si="0"/>
        <v>-7.5908749059914737E-2</v>
      </c>
    </row>
    <row r="15" spans="1:11" x14ac:dyDescent="0.25">
      <c r="A15" s="1" t="s">
        <v>4</v>
      </c>
      <c r="C15" s="72">
        <v>445000</v>
      </c>
      <c r="E15" s="72">
        <f>E69</f>
        <v>380774</v>
      </c>
      <c r="G15" s="31">
        <f>I15-E15</f>
        <v>50000</v>
      </c>
      <c r="I15" s="31">
        <f>I69</f>
        <v>430774</v>
      </c>
      <c r="K15" s="216">
        <f t="shared" si="0"/>
        <v>-3.1968539325842649E-2</v>
      </c>
    </row>
    <row r="16" spans="1:11" ht="18" x14ac:dyDescent="0.4">
      <c r="A16" s="1" t="s">
        <v>5</v>
      </c>
      <c r="C16" s="116">
        <v>188500</v>
      </c>
      <c r="E16" s="75">
        <f>E82</f>
        <v>139047</v>
      </c>
      <c r="G16" s="45">
        <f>I16-E16</f>
        <v>23023</v>
      </c>
      <c r="I16" s="45">
        <f>I82</f>
        <v>162070</v>
      </c>
      <c r="K16" s="297">
        <f t="shared" si="0"/>
        <v>-0.14021220159151193</v>
      </c>
    </row>
    <row r="17" spans="1:14" ht="18" x14ac:dyDescent="0.4">
      <c r="A17" s="1" t="s">
        <v>100</v>
      </c>
      <c r="C17" s="116">
        <f>SUM(C12:C16)</f>
        <v>999770</v>
      </c>
      <c r="E17" s="75">
        <f>SUM(E12:E16)</f>
        <v>860689</v>
      </c>
      <c r="F17" s="4"/>
      <c r="G17" s="45">
        <f>SUM(G12:G16)</f>
        <v>112295</v>
      </c>
      <c r="H17" s="4"/>
      <c r="I17" s="45">
        <f>SUM(I12:I16)</f>
        <v>972984</v>
      </c>
      <c r="K17" s="297">
        <f t="shared" si="0"/>
        <v>-2.6792162197305402E-2</v>
      </c>
      <c r="L17" s="49"/>
      <c r="M17" s="49"/>
    </row>
    <row r="18" spans="1:14" x14ac:dyDescent="0.25">
      <c r="E18" s="72"/>
      <c r="F18" s="4"/>
      <c r="G18" s="31"/>
      <c r="H18" s="4"/>
      <c r="I18" s="31"/>
    </row>
    <row r="19" spans="1:14" x14ac:dyDescent="0.25">
      <c r="A19" s="2" t="s">
        <v>7</v>
      </c>
      <c r="E19" s="72"/>
      <c r="F19" s="4"/>
      <c r="G19" s="31"/>
      <c r="H19" s="4"/>
      <c r="I19" s="31"/>
    </row>
    <row r="20" spans="1:14" x14ac:dyDescent="0.25">
      <c r="A20" s="1" t="s">
        <v>8</v>
      </c>
      <c r="C20" s="72">
        <v>171984</v>
      </c>
      <c r="E20" s="72">
        <f>E115</f>
        <v>129540</v>
      </c>
      <c r="F20" s="4"/>
      <c r="G20" s="31">
        <f t="shared" ref="G20:G24" si="1">I20-E20</f>
        <v>30061</v>
      </c>
      <c r="H20" s="4"/>
      <c r="I20" s="31">
        <f>I115</f>
        <v>159601</v>
      </c>
      <c r="K20" s="216">
        <f>+I20/C20-1</f>
        <v>-7.2000883803144511E-2</v>
      </c>
      <c r="L20" s="49"/>
    </row>
    <row r="21" spans="1:14" x14ac:dyDescent="0.25">
      <c r="A21" s="1" t="s">
        <v>101</v>
      </c>
      <c r="C21" s="72"/>
      <c r="E21" s="72"/>
      <c r="F21" s="4"/>
      <c r="G21" s="31"/>
      <c r="H21" s="4"/>
      <c r="I21" s="31"/>
    </row>
    <row r="22" spans="1:14" x14ac:dyDescent="0.25">
      <c r="A22" s="1" t="s">
        <v>102</v>
      </c>
      <c r="C22" s="72">
        <v>756820</v>
      </c>
      <c r="E22" s="72">
        <f>E143</f>
        <v>653234</v>
      </c>
      <c r="F22" s="4"/>
      <c r="G22" s="31">
        <f t="shared" si="1"/>
        <v>154500</v>
      </c>
      <c r="H22" s="31">
        <f>H143</f>
        <v>0</v>
      </c>
      <c r="I22" s="31">
        <f>I143</f>
        <v>807734</v>
      </c>
      <c r="K22" s="216">
        <f>+I22/C22-1</f>
        <v>6.7273592135514315E-2</v>
      </c>
    </row>
    <row r="23" spans="1:14" x14ac:dyDescent="0.25">
      <c r="A23" s="1" t="s">
        <v>11</v>
      </c>
      <c r="C23" s="72">
        <v>162463</v>
      </c>
      <c r="E23" s="72">
        <f>E180</f>
        <v>123514</v>
      </c>
      <c r="F23" s="4"/>
      <c r="G23" s="31">
        <f t="shared" si="1"/>
        <v>23122</v>
      </c>
      <c r="H23" s="31">
        <f>H180</f>
        <v>0</v>
      </c>
      <c r="I23" s="31">
        <f>I180</f>
        <v>146636</v>
      </c>
      <c r="K23" s="216">
        <f>+I23/C23-1</f>
        <v>-9.7419104657675892E-2</v>
      </c>
    </row>
    <row r="24" spans="1:14" x14ac:dyDescent="0.25">
      <c r="A24" s="1" t="s">
        <v>13</v>
      </c>
      <c r="C24" s="72">
        <v>0</v>
      </c>
      <c r="E24" s="72">
        <f>E191</f>
        <v>0</v>
      </c>
      <c r="F24" s="4"/>
      <c r="G24" s="187">
        <f t="shared" si="1"/>
        <v>0</v>
      </c>
      <c r="H24" s="31">
        <f>H191</f>
        <v>0</v>
      </c>
      <c r="I24" s="31">
        <f>I191</f>
        <v>0</v>
      </c>
      <c r="K24" s="216">
        <v>0</v>
      </c>
    </row>
    <row r="25" spans="1:14" ht="18" x14ac:dyDescent="0.4">
      <c r="A25" s="1" t="s">
        <v>103</v>
      </c>
      <c r="C25" s="182">
        <v>0</v>
      </c>
      <c r="E25" s="75">
        <f>E186</f>
        <v>110255</v>
      </c>
      <c r="F25" s="4"/>
      <c r="G25" s="182">
        <v>0</v>
      </c>
      <c r="H25" s="45" t="e">
        <f>#REF!</f>
        <v>#REF!</v>
      </c>
      <c r="I25" s="75">
        <f>I186</f>
        <v>110255</v>
      </c>
      <c r="K25" s="297">
        <v>1</v>
      </c>
    </row>
    <row r="26" spans="1:14" ht="18" x14ac:dyDescent="0.4">
      <c r="A26" s="1" t="s">
        <v>14</v>
      </c>
      <c r="C26" s="116">
        <f>SUM(C20:C25)</f>
        <v>1091267</v>
      </c>
      <c r="E26" s="75">
        <f>SUM(E20:E25)</f>
        <v>1016543</v>
      </c>
      <c r="F26" s="4"/>
      <c r="G26" s="45">
        <f>SUM(G20:G25)</f>
        <v>207683</v>
      </c>
      <c r="H26" s="4"/>
      <c r="I26" s="45">
        <f>SUM(I20:I25)</f>
        <v>1224226</v>
      </c>
      <c r="K26" s="297">
        <f>+I26/C26-1</f>
        <v>0.12183910995200997</v>
      </c>
      <c r="L26" s="49"/>
      <c r="M26" s="49"/>
    </row>
    <row r="27" spans="1:14" x14ac:dyDescent="0.25">
      <c r="A27" s="1" t="s">
        <v>104</v>
      </c>
      <c r="C27" s="72"/>
      <c r="E27" s="72"/>
      <c r="F27" s="4"/>
      <c r="G27" s="31"/>
      <c r="H27" s="4"/>
      <c r="I27" s="31"/>
      <c r="L27" s="49"/>
      <c r="M27" s="49">
        <f>M17-M26</f>
        <v>0</v>
      </c>
    </row>
    <row r="28" spans="1:14" x14ac:dyDescent="0.25">
      <c r="A28" s="1" t="s">
        <v>89</v>
      </c>
      <c r="C28" s="72"/>
      <c r="E28" s="72"/>
      <c r="F28" s="4"/>
      <c r="G28" s="31"/>
      <c r="H28" s="4"/>
      <c r="I28" s="31"/>
      <c r="L28" s="49"/>
      <c r="M28" s="49"/>
    </row>
    <row r="29" spans="1:14" x14ac:dyDescent="0.25">
      <c r="A29" s="1" t="s">
        <v>286</v>
      </c>
      <c r="C29" s="73">
        <f>C17-C26</f>
        <v>-91497</v>
      </c>
      <c r="E29" s="73">
        <f>E17-E26</f>
        <v>-155854</v>
      </c>
      <c r="F29" s="4"/>
      <c r="G29" s="36">
        <f>G17-G26</f>
        <v>-95388</v>
      </c>
      <c r="H29" s="4"/>
      <c r="I29" s="36">
        <f>I17-I26</f>
        <v>-251242</v>
      </c>
      <c r="K29" s="216">
        <f>+I29/C29-1</f>
        <v>1.7459042372973976</v>
      </c>
      <c r="N29" s="1" t="s">
        <v>19</v>
      </c>
    </row>
    <row r="30" spans="1:14" x14ac:dyDescent="0.25">
      <c r="C30" s="72"/>
      <c r="E30" s="72"/>
      <c r="F30" s="4"/>
      <c r="G30" s="31"/>
      <c r="H30" s="4"/>
      <c r="I30" s="31"/>
      <c r="M30" s="49">
        <f>N98</f>
        <v>0</v>
      </c>
    </row>
    <row r="31" spans="1:14" x14ac:dyDescent="0.25">
      <c r="A31" s="2" t="s">
        <v>106</v>
      </c>
      <c r="C31" s="72"/>
      <c r="E31" s="72"/>
      <c r="F31" s="4"/>
      <c r="G31" s="31"/>
      <c r="H31" s="4"/>
      <c r="I31" s="31"/>
    </row>
    <row r="32" spans="1:14" ht="18" x14ac:dyDescent="0.4">
      <c r="A32" s="44" t="s">
        <v>491</v>
      </c>
      <c r="C32" s="286">
        <v>60000</v>
      </c>
      <c r="D32" s="145"/>
      <c r="E32" s="116">
        <v>0</v>
      </c>
      <c r="F32" s="182"/>
      <c r="G32" s="116">
        <v>150000</v>
      </c>
      <c r="H32" s="182"/>
      <c r="I32" s="116">
        <f>E32+G32</f>
        <v>150000</v>
      </c>
      <c r="K32" s="297">
        <f>+I32/C32-1</f>
        <v>1.5</v>
      </c>
      <c r="M32" s="49"/>
    </row>
    <row r="33" spans="1:13" ht="18" x14ac:dyDescent="0.4">
      <c r="E33" s="72"/>
      <c r="F33" s="4"/>
      <c r="G33" s="31"/>
      <c r="H33" s="4"/>
      <c r="I33" s="31"/>
      <c r="M33" s="195"/>
    </row>
    <row r="34" spans="1:13" x14ac:dyDescent="0.25">
      <c r="A34" s="1" t="s">
        <v>348</v>
      </c>
      <c r="E34" s="72"/>
      <c r="F34" s="4"/>
      <c r="G34" s="31"/>
      <c r="H34" s="4"/>
      <c r="I34" s="31"/>
    </row>
    <row r="35" spans="1:13" ht="18" x14ac:dyDescent="0.4">
      <c r="A35" s="1" t="s">
        <v>107</v>
      </c>
      <c r="C35" s="141">
        <f>C29+C32</f>
        <v>-31497</v>
      </c>
      <c r="E35" s="141">
        <f>E29+E32</f>
        <v>-155854</v>
      </c>
      <c r="F35" s="141"/>
      <c r="G35" s="141">
        <f>G29+G32</f>
        <v>54612</v>
      </c>
      <c r="H35" s="141"/>
      <c r="I35" s="141">
        <f>I29+I32</f>
        <v>-101242</v>
      </c>
      <c r="K35" s="316">
        <f>+I35/C35-1</f>
        <v>2.2143378734482648</v>
      </c>
    </row>
    <row r="37" spans="1:13" x14ac:dyDescent="0.25">
      <c r="K37" s="20" t="s">
        <v>337</v>
      </c>
    </row>
    <row r="38" spans="1:13" x14ac:dyDescent="0.25">
      <c r="A38" s="623" t="s">
        <v>47</v>
      </c>
      <c r="B38" s="623"/>
      <c r="C38" s="623"/>
      <c r="D38" s="623"/>
      <c r="E38" s="623"/>
      <c r="F38" s="623"/>
      <c r="G38" s="623"/>
      <c r="H38" s="623"/>
      <c r="I38" s="623"/>
      <c r="J38" s="623"/>
      <c r="K38" s="623"/>
    </row>
    <row r="39" spans="1:13" x14ac:dyDescent="0.25">
      <c r="A39" s="623" t="s">
        <v>227</v>
      </c>
      <c r="B39" s="623"/>
      <c r="C39" s="623"/>
      <c r="D39" s="623"/>
      <c r="E39" s="623"/>
      <c r="F39" s="623"/>
      <c r="G39" s="623"/>
      <c r="H39" s="623"/>
      <c r="I39" s="623"/>
      <c r="J39" s="623"/>
      <c r="K39" s="623"/>
    </row>
    <row r="40" spans="1:13" x14ac:dyDescent="0.25">
      <c r="A40" s="623" t="s">
        <v>322</v>
      </c>
      <c r="B40" s="623"/>
      <c r="C40" s="623"/>
      <c r="D40" s="623"/>
      <c r="E40" s="623"/>
      <c r="F40" s="623"/>
      <c r="G40" s="623"/>
      <c r="H40" s="623"/>
      <c r="I40" s="623"/>
      <c r="J40" s="623"/>
      <c r="K40" s="623"/>
    </row>
    <row r="41" spans="1:13" x14ac:dyDescent="0.25">
      <c r="A41" s="623" t="str">
        <f>+A5</f>
        <v>Year Ending September 30, 2018</v>
      </c>
      <c r="B41" s="623"/>
      <c r="C41" s="623"/>
      <c r="D41" s="623"/>
      <c r="E41" s="623"/>
      <c r="F41" s="623"/>
      <c r="G41" s="623"/>
      <c r="H41" s="623"/>
      <c r="I41" s="623"/>
      <c r="J41" s="623"/>
      <c r="K41" s="623"/>
    </row>
    <row r="43" spans="1:13" x14ac:dyDescent="0.25">
      <c r="E43" s="626" t="s">
        <v>109</v>
      </c>
      <c r="F43" s="626"/>
      <c r="G43" s="626"/>
      <c r="H43" s="626"/>
      <c r="I43" s="626"/>
    </row>
    <row r="44" spans="1:13" x14ac:dyDescent="0.25">
      <c r="C44" s="7" t="s">
        <v>386</v>
      </c>
      <c r="E44" s="162" t="str">
        <f>+E9</f>
        <v xml:space="preserve">10 Months </v>
      </c>
      <c r="F44" s="77"/>
      <c r="G44" s="162" t="str">
        <f>+G9</f>
        <v xml:space="preserve">2 Months </v>
      </c>
      <c r="H44" s="77"/>
      <c r="I44" s="26">
        <f>I9</f>
        <v>2018</v>
      </c>
      <c r="K44" s="7" t="s">
        <v>384</v>
      </c>
    </row>
    <row r="45" spans="1:13" x14ac:dyDescent="0.25">
      <c r="C45" s="215" t="s">
        <v>85</v>
      </c>
      <c r="E45" s="127" t="s">
        <v>83</v>
      </c>
      <c r="G45" s="28" t="s">
        <v>84</v>
      </c>
      <c r="I45" s="28" t="s">
        <v>84</v>
      </c>
      <c r="K45" s="215" t="s">
        <v>385</v>
      </c>
    </row>
    <row r="46" spans="1:13" x14ac:dyDescent="0.25">
      <c r="A46" s="2" t="s">
        <v>0</v>
      </c>
    </row>
    <row r="47" spans="1:13" x14ac:dyDescent="0.25">
      <c r="A47" s="1" t="s">
        <v>110</v>
      </c>
      <c r="C47" s="91">
        <v>63000</v>
      </c>
      <c r="E47" s="365">
        <v>80655</v>
      </c>
      <c r="F47" s="91"/>
      <c r="G47" s="369">
        <v>100</v>
      </c>
      <c r="H47" s="3"/>
      <c r="I47" s="30">
        <f>E47+G47</f>
        <v>80755</v>
      </c>
      <c r="K47" s="216">
        <f>+I47/C47-1</f>
        <v>0.28182539682539676</v>
      </c>
      <c r="L47" s="1">
        <f>52189</f>
        <v>52189</v>
      </c>
      <c r="M47" s="178">
        <f>E47-L47</f>
        <v>28466</v>
      </c>
    </row>
    <row r="48" spans="1:13" x14ac:dyDescent="0.25">
      <c r="A48" s="44" t="s">
        <v>398</v>
      </c>
      <c r="C48" s="72">
        <v>1500</v>
      </c>
      <c r="E48" s="363">
        <v>2114</v>
      </c>
      <c r="F48" s="72"/>
      <c r="G48" s="368">
        <v>0</v>
      </c>
      <c r="H48" s="72"/>
      <c r="I48" s="31">
        <f>E48+G48</f>
        <v>2114</v>
      </c>
      <c r="K48" s="216">
        <f>+I48/C48-1</f>
        <v>0.40933333333333333</v>
      </c>
    </row>
    <row r="49" spans="1:13" x14ac:dyDescent="0.25">
      <c r="A49" s="1" t="s">
        <v>111</v>
      </c>
      <c r="E49" s="363"/>
      <c r="G49" s="366"/>
      <c r="I49" s="31"/>
    </row>
    <row r="50" spans="1:13" ht="18" x14ac:dyDescent="0.4">
      <c r="A50" s="1" t="s">
        <v>112</v>
      </c>
      <c r="C50" s="75">
        <v>85500</v>
      </c>
      <c r="E50" s="364">
        <v>68318</v>
      </c>
      <c r="G50" s="367">
        <v>18072</v>
      </c>
      <c r="I50" s="45">
        <f>E50+G50</f>
        <v>86390</v>
      </c>
      <c r="K50" s="297">
        <f>+I50/C50-1</f>
        <v>1.0409356725146202E-2</v>
      </c>
    </row>
    <row r="51" spans="1:13" ht="18" x14ac:dyDescent="0.4">
      <c r="A51" s="1" t="s">
        <v>113</v>
      </c>
      <c r="C51" s="75">
        <f>SUM(C47:C50)</f>
        <v>150000</v>
      </c>
      <c r="E51" s="75">
        <f>SUM(E47:E50)</f>
        <v>151087</v>
      </c>
      <c r="F51" s="4"/>
      <c r="G51" s="45">
        <f>I51-E51</f>
        <v>18172</v>
      </c>
      <c r="H51" s="4"/>
      <c r="I51" s="45">
        <f>SUM(I47:I50)</f>
        <v>169259</v>
      </c>
      <c r="K51" s="297">
        <f>+I51/C51-1</f>
        <v>0.12839333333333336</v>
      </c>
    </row>
    <row r="52" spans="1:13" x14ac:dyDescent="0.25">
      <c r="E52" s="72"/>
      <c r="F52" s="4"/>
      <c r="G52" s="31"/>
      <c r="H52" s="4"/>
      <c r="I52" s="31"/>
    </row>
    <row r="53" spans="1:13" x14ac:dyDescent="0.25">
      <c r="A53" s="2" t="s">
        <v>114</v>
      </c>
      <c r="C53" s="72"/>
      <c r="E53" s="72"/>
      <c r="F53" s="4"/>
      <c r="G53" s="31"/>
      <c r="H53" s="4"/>
      <c r="I53" s="31"/>
    </row>
    <row r="54" spans="1:13" x14ac:dyDescent="0.25">
      <c r="A54" s="1" t="s">
        <v>115</v>
      </c>
      <c r="C54" s="72">
        <v>96600</v>
      </c>
      <c r="E54" s="370">
        <v>100195</v>
      </c>
      <c r="F54" s="4"/>
      <c r="G54" s="373">
        <v>100</v>
      </c>
      <c r="H54" s="4"/>
      <c r="I54" s="31">
        <f>E54+G54</f>
        <v>100295</v>
      </c>
      <c r="K54" s="216">
        <f>+I54/C54-1</f>
        <v>3.8250517598343636E-2</v>
      </c>
      <c r="M54" s="1">
        <v>3</v>
      </c>
    </row>
    <row r="55" spans="1:13" ht="18" x14ac:dyDescent="0.4">
      <c r="A55" s="1" t="s">
        <v>116</v>
      </c>
      <c r="C55" s="116">
        <v>0</v>
      </c>
      <c r="E55" s="371">
        <v>0</v>
      </c>
      <c r="F55" s="182"/>
      <c r="G55" s="372">
        <v>0</v>
      </c>
      <c r="H55" s="182"/>
      <c r="I55" s="182">
        <f>E55+G55</f>
        <v>0</v>
      </c>
      <c r="K55" s="297" t="e">
        <f>+I55/C55-1</f>
        <v>#DIV/0!</v>
      </c>
    </row>
    <row r="56" spans="1:13" ht="18" x14ac:dyDescent="0.4">
      <c r="A56" s="1" t="s">
        <v>117</v>
      </c>
      <c r="C56" s="116">
        <f>SUM(C54:C55)</f>
        <v>96600</v>
      </c>
      <c r="E56" s="75">
        <f>SUM(E54:E55)</f>
        <v>100195</v>
      </c>
      <c r="F56" s="4"/>
      <c r="G56" s="182">
        <f>SUM(G54:G55)</f>
        <v>100</v>
      </c>
      <c r="H56" s="4"/>
      <c r="I56" s="45">
        <f>SUM(I54:I55)</f>
        <v>100295</v>
      </c>
      <c r="K56" s="297">
        <f>+I56/C56-1</f>
        <v>3.8250517598343636E-2</v>
      </c>
    </row>
    <row r="57" spans="1:13" x14ac:dyDescent="0.25">
      <c r="E57" s="72"/>
      <c r="F57" s="4"/>
      <c r="G57" s="31"/>
      <c r="H57" s="4"/>
      <c r="I57" s="31"/>
    </row>
    <row r="58" spans="1:13" x14ac:dyDescent="0.25">
      <c r="A58" s="2" t="s">
        <v>118</v>
      </c>
      <c r="E58" s="72"/>
      <c r="F58" s="4"/>
      <c r="G58" s="31"/>
      <c r="H58" s="4"/>
      <c r="I58" s="31"/>
    </row>
    <row r="59" spans="1:13" x14ac:dyDescent="0.25">
      <c r="A59" s="1" t="s">
        <v>119</v>
      </c>
      <c r="C59" s="72"/>
      <c r="E59" s="72"/>
      <c r="F59" s="4"/>
      <c r="G59" s="31"/>
      <c r="H59" s="4"/>
      <c r="I59" s="31"/>
    </row>
    <row r="60" spans="1:13" x14ac:dyDescent="0.25">
      <c r="A60" s="1" t="s">
        <v>120</v>
      </c>
      <c r="C60" s="72">
        <v>7600</v>
      </c>
      <c r="E60" s="374">
        <v>5505</v>
      </c>
      <c r="F60" s="4"/>
      <c r="G60" s="377">
        <v>1300</v>
      </c>
      <c r="H60" s="4"/>
      <c r="I60" s="31">
        <f t="shared" ref="I60:I65" si="2">E60+G60</f>
        <v>6805</v>
      </c>
      <c r="K60" s="216">
        <f t="shared" ref="K60:K66" si="3">+I60/C60-1</f>
        <v>-0.10460526315789476</v>
      </c>
      <c r="L60" s="49"/>
    </row>
    <row r="61" spans="1:13" x14ac:dyDescent="0.25">
      <c r="A61" s="1" t="s">
        <v>446</v>
      </c>
      <c r="C61" s="254">
        <v>50000</v>
      </c>
      <c r="E61" s="374">
        <v>42000</v>
      </c>
      <c r="F61" s="4"/>
      <c r="G61" s="377">
        <v>8000</v>
      </c>
      <c r="H61" s="4"/>
      <c r="I61" s="31">
        <f t="shared" si="2"/>
        <v>50000</v>
      </c>
      <c r="K61" s="216">
        <f t="shared" si="3"/>
        <v>0</v>
      </c>
    </row>
    <row r="62" spans="1:13" x14ac:dyDescent="0.25">
      <c r="A62" s="44" t="s">
        <v>246</v>
      </c>
      <c r="C62" s="72">
        <v>41600</v>
      </c>
      <c r="E62" s="374">
        <v>27605</v>
      </c>
      <c r="F62" s="4"/>
      <c r="G62" s="376">
        <v>6000</v>
      </c>
      <c r="H62" s="4"/>
      <c r="I62" s="31">
        <f t="shared" si="2"/>
        <v>33605</v>
      </c>
      <c r="K62" s="216">
        <f t="shared" si="3"/>
        <v>-0.19218749999999996</v>
      </c>
    </row>
    <row r="63" spans="1:13" x14ac:dyDescent="0.25">
      <c r="A63" s="1" t="s">
        <v>219</v>
      </c>
      <c r="C63" s="72">
        <v>13600</v>
      </c>
      <c r="E63" s="374">
        <v>9813</v>
      </c>
      <c r="F63" s="4"/>
      <c r="G63" s="376">
        <v>3600</v>
      </c>
      <c r="H63" s="4"/>
      <c r="I63" s="31">
        <f t="shared" si="2"/>
        <v>13413</v>
      </c>
      <c r="K63" s="216">
        <f t="shared" si="3"/>
        <v>-1.375000000000004E-2</v>
      </c>
    </row>
    <row r="64" spans="1:13" x14ac:dyDescent="0.25">
      <c r="A64" s="1" t="s">
        <v>320</v>
      </c>
      <c r="C64" s="72">
        <v>4200</v>
      </c>
      <c r="E64" s="374">
        <v>2100</v>
      </c>
      <c r="F64" s="4"/>
      <c r="G64" s="379">
        <v>2100</v>
      </c>
      <c r="H64" s="4"/>
      <c r="I64" s="31">
        <f t="shared" si="2"/>
        <v>4200</v>
      </c>
      <c r="K64" s="216">
        <f t="shared" si="3"/>
        <v>0</v>
      </c>
    </row>
    <row r="65" spans="1:11" ht="18" x14ac:dyDescent="0.4">
      <c r="A65" s="1" t="s">
        <v>121</v>
      </c>
      <c r="C65" s="116">
        <v>2670</v>
      </c>
      <c r="E65" s="375">
        <v>2563</v>
      </c>
      <c r="F65" s="4"/>
      <c r="G65" s="378">
        <v>0</v>
      </c>
      <c r="H65" s="4"/>
      <c r="I65" s="80">
        <f t="shared" si="2"/>
        <v>2563</v>
      </c>
      <c r="K65" s="297">
        <f t="shared" si="3"/>
        <v>-4.0074906367041252E-2</v>
      </c>
    </row>
    <row r="66" spans="1:11" ht="18" x14ac:dyDescent="0.4">
      <c r="A66" s="1" t="s">
        <v>122</v>
      </c>
      <c r="C66" s="116">
        <f>SUM(C60:C65)</f>
        <v>119670</v>
      </c>
      <c r="E66" s="75">
        <f>SUM(E60:E65)</f>
        <v>89586</v>
      </c>
      <c r="F66" s="4"/>
      <c r="G66" s="45">
        <f>I66-E66</f>
        <v>21000</v>
      </c>
      <c r="H66" s="4"/>
      <c r="I66" s="45">
        <f>SUM(I60:I65)</f>
        <v>110586</v>
      </c>
      <c r="K66" s="297">
        <f t="shared" si="3"/>
        <v>-7.5908749059914737E-2</v>
      </c>
    </row>
    <row r="67" spans="1:11" x14ac:dyDescent="0.25">
      <c r="C67" s="72"/>
      <c r="E67" s="72"/>
      <c r="F67" s="4"/>
      <c r="G67" s="31"/>
      <c r="H67" s="4"/>
      <c r="I67" s="31"/>
    </row>
    <row r="68" spans="1:11" x14ac:dyDescent="0.25">
      <c r="C68" s="72"/>
      <c r="E68" s="72"/>
      <c r="F68" s="4"/>
      <c r="G68" s="31"/>
      <c r="H68" s="4"/>
      <c r="I68" s="31"/>
    </row>
    <row r="69" spans="1:11" ht="18" x14ac:dyDescent="0.4">
      <c r="A69" s="2" t="s">
        <v>4</v>
      </c>
      <c r="C69" s="75">
        <v>445000</v>
      </c>
      <c r="E69" s="385">
        <v>380774</v>
      </c>
      <c r="F69" s="4"/>
      <c r="G69" s="386">
        <v>50000</v>
      </c>
      <c r="H69" s="4"/>
      <c r="I69" s="45">
        <f>E69+G69</f>
        <v>430774</v>
      </c>
      <c r="K69" s="297">
        <f>+I69/C69-1</f>
        <v>-3.1968539325842649E-2</v>
      </c>
    </row>
    <row r="70" spans="1:11" x14ac:dyDescent="0.25">
      <c r="C70" s="72"/>
      <c r="E70" s="72"/>
      <c r="F70" s="4"/>
      <c r="G70" s="31"/>
      <c r="H70" s="4"/>
      <c r="I70" s="31"/>
    </row>
    <row r="71" spans="1:11" x14ac:dyDescent="0.25">
      <c r="A71" s="2" t="s">
        <v>123</v>
      </c>
      <c r="C71" s="72"/>
      <c r="E71" s="72"/>
      <c r="F71" s="4"/>
      <c r="G71" s="31"/>
      <c r="H71" s="4"/>
      <c r="I71" s="31"/>
    </row>
    <row r="72" spans="1:11" x14ac:dyDescent="0.25">
      <c r="A72" s="1" t="s">
        <v>124</v>
      </c>
      <c r="C72" s="72">
        <v>115800</v>
      </c>
      <c r="E72" s="380">
        <v>96500</v>
      </c>
      <c r="F72" s="4"/>
      <c r="G72" s="382">
        <v>19300</v>
      </c>
      <c r="H72" s="4"/>
      <c r="I72" s="31">
        <f t="shared" ref="I72:I81" si="4">E72+G72</f>
        <v>115800</v>
      </c>
      <c r="K72" s="216">
        <f t="shared" ref="K72:K81" si="5">+I72/C72-1</f>
        <v>0</v>
      </c>
    </row>
    <row r="73" spans="1:11" x14ac:dyDescent="0.25">
      <c r="A73" s="1" t="s">
        <v>210</v>
      </c>
      <c r="C73" s="72">
        <v>0</v>
      </c>
      <c r="D73" s="174"/>
      <c r="E73" s="380">
        <v>4768</v>
      </c>
      <c r="F73" s="4"/>
      <c r="G73" s="587">
        <v>2153</v>
      </c>
      <c r="H73" s="174"/>
      <c r="I73" s="72">
        <f t="shared" si="4"/>
        <v>6921</v>
      </c>
      <c r="K73" s="600">
        <v>100</v>
      </c>
    </row>
    <row r="74" spans="1:11" x14ac:dyDescent="0.25">
      <c r="A74" s="1" t="s">
        <v>125</v>
      </c>
      <c r="C74" s="72">
        <v>8700</v>
      </c>
      <c r="E74" s="380">
        <v>9275</v>
      </c>
      <c r="F74" s="4"/>
      <c r="G74" s="382">
        <v>300</v>
      </c>
      <c r="H74" s="4"/>
      <c r="I74" s="31">
        <f t="shared" si="4"/>
        <v>9575</v>
      </c>
      <c r="J74" s="4"/>
      <c r="K74" s="216">
        <f t="shared" si="5"/>
        <v>0.10057471264367823</v>
      </c>
    </row>
    <row r="75" spans="1:11" x14ac:dyDescent="0.25">
      <c r="A75" s="44" t="s">
        <v>472</v>
      </c>
      <c r="C75" s="72">
        <v>47000</v>
      </c>
      <c r="E75" s="380">
        <v>19593</v>
      </c>
      <c r="F75" s="4"/>
      <c r="G75" s="382">
        <v>500</v>
      </c>
      <c r="H75" s="4"/>
      <c r="I75" s="31">
        <f t="shared" si="4"/>
        <v>20093</v>
      </c>
      <c r="J75" s="4"/>
      <c r="K75" s="216">
        <f t="shared" si="5"/>
        <v>-0.57248936170212761</v>
      </c>
    </row>
    <row r="76" spans="1:11" x14ac:dyDescent="0.25">
      <c r="A76" s="44" t="s">
        <v>405</v>
      </c>
      <c r="C76" s="72">
        <v>0</v>
      </c>
      <c r="E76" s="380">
        <v>300</v>
      </c>
      <c r="F76" s="4"/>
      <c r="G76" s="384">
        <v>0</v>
      </c>
      <c r="H76" s="4"/>
      <c r="I76" s="31">
        <f t="shared" si="4"/>
        <v>300</v>
      </c>
      <c r="J76" s="4"/>
      <c r="K76" s="216">
        <v>1</v>
      </c>
    </row>
    <row r="77" spans="1:11" x14ac:dyDescent="0.25">
      <c r="A77" s="1" t="s">
        <v>403</v>
      </c>
      <c r="C77" s="72">
        <v>0</v>
      </c>
      <c r="E77" s="380">
        <v>0</v>
      </c>
      <c r="F77" s="4"/>
      <c r="G77" s="384">
        <v>0</v>
      </c>
      <c r="H77" s="4"/>
      <c r="I77" s="31">
        <f t="shared" si="4"/>
        <v>0</v>
      </c>
      <c r="J77" s="4"/>
      <c r="K77" s="216">
        <v>0</v>
      </c>
    </row>
    <row r="78" spans="1:11" x14ac:dyDescent="0.25">
      <c r="A78" s="1" t="s">
        <v>406</v>
      </c>
      <c r="C78" s="72">
        <v>4000</v>
      </c>
      <c r="E78" s="380">
        <v>2831</v>
      </c>
      <c r="F78" s="4"/>
      <c r="G78" s="382">
        <v>470</v>
      </c>
      <c r="H78" s="4"/>
      <c r="I78" s="31">
        <f t="shared" si="4"/>
        <v>3301</v>
      </c>
      <c r="J78" s="4"/>
      <c r="K78" s="216">
        <f t="shared" si="5"/>
        <v>-0.17474999999999996</v>
      </c>
    </row>
    <row r="79" spans="1:11" x14ac:dyDescent="0.25">
      <c r="A79" s="1" t="s">
        <v>469</v>
      </c>
      <c r="C79" s="517">
        <v>4000</v>
      </c>
      <c r="E79" s="380">
        <v>4775</v>
      </c>
      <c r="F79" s="4"/>
      <c r="G79" s="382">
        <v>300</v>
      </c>
      <c r="H79" s="4"/>
      <c r="I79" s="31">
        <f t="shared" si="4"/>
        <v>5075</v>
      </c>
      <c r="J79" s="4"/>
      <c r="K79" s="216">
        <v>1</v>
      </c>
    </row>
    <row r="80" spans="1:11" x14ac:dyDescent="0.25">
      <c r="A80" s="1" t="s">
        <v>479</v>
      </c>
      <c r="C80" s="174">
        <v>0</v>
      </c>
      <c r="E80" s="380">
        <v>0</v>
      </c>
      <c r="F80" s="4"/>
      <c r="G80" s="384">
        <v>0</v>
      </c>
      <c r="H80" s="4"/>
      <c r="I80" s="31">
        <f t="shared" si="4"/>
        <v>0</v>
      </c>
      <c r="J80" s="4"/>
      <c r="K80" s="216">
        <v>1</v>
      </c>
    </row>
    <row r="81" spans="1:17" ht="18" x14ac:dyDescent="0.4">
      <c r="A81" s="1" t="s">
        <v>404</v>
      </c>
      <c r="C81" s="116">
        <v>9000</v>
      </c>
      <c r="E81" s="381">
        <v>1005</v>
      </c>
      <c r="F81" s="116"/>
      <c r="G81" s="383">
        <v>0</v>
      </c>
      <c r="H81" s="116"/>
      <c r="I81" s="116">
        <f t="shared" si="4"/>
        <v>1005</v>
      </c>
      <c r="K81" s="297">
        <f t="shared" si="5"/>
        <v>-0.88833333333333331</v>
      </c>
      <c r="Q81" s="1" t="s">
        <v>467</v>
      </c>
    </row>
    <row r="82" spans="1:17" ht="18" x14ac:dyDescent="0.4">
      <c r="A82" s="1" t="s">
        <v>126</v>
      </c>
      <c r="C82" s="116">
        <f>SUM(C72:C81)</f>
        <v>188500</v>
      </c>
      <c r="E82" s="75">
        <f>SUM(E72:E81)</f>
        <v>139047</v>
      </c>
      <c r="F82" s="4"/>
      <c r="G82" s="45">
        <f>I82-E82</f>
        <v>23023</v>
      </c>
      <c r="H82" s="4"/>
      <c r="I82" s="45">
        <f>SUM(I72:I81)</f>
        <v>162070</v>
      </c>
      <c r="K82" s="297">
        <f>+I82/C82-1</f>
        <v>-0.14021220159151193</v>
      </c>
      <c r="L82" s="49"/>
      <c r="N82" s="49"/>
    </row>
    <row r="83" spans="1:17" x14ac:dyDescent="0.25">
      <c r="A83" s="1" t="s">
        <v>127</v>
      </c>
      <c r="G83" s="31"/>
      <c r="I83" s="31"/>
    </row>
    <row r="84" spans="1:17" ht="18" x14ac:dyDescent="0.4">
      <c r="A84" s="1" t="s">
        <v>284</v>
      </c>
      <c r="C84" s="141">
        <f>C82+C69+C66+C56+C51</f>
        <v>999770</v>
      </c>
      <c r="E84" s="141">
        <f>E82+E69+E66+E56+E51</f>
        <v>860689</v>
      </c>
      <c r="F84" s="3"/>
      <c r="G84" s="142">
        <f>I84-E84</f>
        <v>112295</v>
      </c>
      <c r="H84" s="3"/>
      <c r="I84" s="142">
        <f>I82+I69+I66+I56+I51</f>
        <v>972984</v>
      </c>
      <c r="J84" s="178"/>
      <c r="K84" s="297">
        <f>+I84/C84-1</f>
        <v>-2.6792162197305402E-2</v>
      </c>
      <c r="L84" s="177"/>
    </row>
    <row r="85" spans="1:17" ht="18" x14ac:dyDescent="0.4">
      <c r="C85" s="141"/>
      <c r="E85" s="141"/>
      <c r="F85" s="3"/>
      <c r="G85" s="142"/>
      <c r="H85" s="3"/>
      <c r="I85" s="142"/>
      <c r="J85" s="178"/>
      <c r="K85" s="47" t="s">
        <v>338</v>
      </c>
      <c r="L85" s="177"/>
    </row>
    <row r="86" spans="1:17" x14ac:dyDescent="0.25">
      <c r="A86" s="623" t="s">
        <v>47</v>
      </c>
      <c r="B86" s="623"/>
      <c r="C86" s="623"/>
      <c r="D86" s="623"/>
      <c r="E86" s="623"/>
      <c r="F86" s="623"/>
      <c r="G86" s="623"/>
      <c r="H86" s="623"/>
      <c r="I86" s="623"/>
      <c r="J86" s="623"/>
      <c r="K86" s="623"/>
    </row>
    <row r="87" spans="1:17" x14ac:dyDescent="0.25">
      <c r="A87" s="623" t="s">
        <v>227</v>
      </c>
      <c r="B87" s="623"/>
      <c r="C87" s="623"/>
      <c r="D87" s="623"/>
      <c r="E87" s="623"/>
      <c r="F87" s="623"/>
      <c r="G87" s="623"/>
      <c r="H87" s="623"/>
      <c r="I87" s="623"/>
      <c r="J87" s="623"/>
      <c r="K87" s="623"/>
    </row>
    <row r="88" spans="1:17" x14ac:dyDescent="0.25">
      <c r="A88" s="623" t="s">
        <v>322</v>
      </c>
      <c r="B88" s="623"/>
      <c r="C88" s="623"/>
      <c r="D88" s="623"/>
      <c r="E88" s="623"/>
      <c r="F88" s="623"/>
      <c r="G88" s="623"/>
      <c r="H88" s="623"/>
      <c r="I88" s="623"/>
      <c r="J88" s="623"/>
      <c r="K88" s="623"/>
    </row>
    <row r="89" spans="1:17" x14ac:dyDescent="0.25">
      <c r="A89" s="623" t="str">
        <f>A5</f>
        <v>Year Ending September 30, 2018</v>
      </c>
      <c r="B89" s="623"/>
      <c r="C89" s="623"/>
      <c r="D89" s="623"/>
      <c r="E89" s="623"/>
      <c r="F89" s="623"/>
      <c r="G89" s="623"/>
      <c r="H89" s="623"/>
      <c r="I89" s="623"/>
      <c r="J89" s="623"/>
      <c r="K89" s="623"/>
    </row>
    <row r="90" spans="1:17" x14ac:dyDescent="0.25">
      <c r="E90" s="1"/>
      <c r="G90" s="1"/>
      <c r="I90" s="1"/>
    </row>
    <row r="91" spans="1:17" x14ac:dyDescent="0.25">
      <c r="G91" s="31"/>
      <c r="I91" s="31"/>
    </row>
    <row r="92" spans="1:17" x14ac:dyDescent="0.25">
      <c r="E92" s="626" t="s">
        <v>109</v>
      </c>
      <c r="F92" s="626"/>
      <c r="G92" s="626"/>
      <c r="H92" s="626"/>
      <c r="I92" s="626"/>
    </row>
    <row r="93" spans="1:17" x14ac:dyDescent="0.25">
      <c r="C93" s="7" t="s">
        <v>386</v>
      </c>
      <c r="E93" s="86" t="str">
        <f>E9</f>
        <v xml:space="preserve">10 Months </v>
      </c>
      <c r="F93" s="77"/>
      <c r="G93" s="26" t="str">
        <f>G9</f>
        <v xml:space="preserve">2 Months </v>
      </c>
      <c r="H93" s="77"/>
      <c r="I93" s="26">
        <f>I9</f>
        <v>2018</v>
      </c>
      <c r="K93" s="7" t="s">
        <v>384</v>
      </c>
    </row>
    <row r="94" spans="1:17" x14ac:dyDescent="0.25">
      <c r="C94" s="215" t="s">
        <v>85</v>
      </c>
      <c r="E94" s="127" t="s">
        <v>83</v>
      </c>
      <c r="G94" s="48" t="s">
        <v>84</v>
      </c>
      <c r="I94" s="48" t="s">
        <v>84</v>
      </c>
      <c r="K94" s="215" t="s">
        <v>385</v>
      </c>
    </row>
    <row r="95" spans="1:17" x14ac:dyDescent="0.25">
      <c r="A95" s="2" t="s">
        <v>7</v>
      </c>
      <c r="G95" s="31"/>
      <c r="I95" s="31"/>
    </row>
    <row r="96" spans="1:17" x14ac:dyDescent="0.25">
      <c r="A96" s="2" t="s">
        <v>128</v>
      </c>
      <c r="G96" s="31"/>
      <c r="I96" s="31"/>
    </row>
    <row r="97" spans="1:12" x14ac:dyDescent="0.25">
      <c r="A97" s="1" t="s">
        <v>394</v>
      </c>
      <c r="C97" s="72">
        <v>44000</v>
      </c>
      <c r="E97" s="390">
        <v>36000</v>
      </c>
      <c r="F97" s="3"/>
      <c r="G97" s="393">
        <v>8000</v>
      </c>
      <c r="H97" s="3"/>
      <c r="I97" s="30">
        <f>E97+G97</f>
        <v>44000</v>
      </c>
      <c r="K97" s="216">
        <f t="shared" ref="K97:K115" si="6">+I97/C97-1</f>
        <v>0</v>
      </c>
      <c r="L97" s="177"/>
    </row>
    <row r="98" spans="1:12" x14ac:dyDescent="0.25">
      <c r="A98" s="1" t="s">
        <v>563</v>
      </c>
      <c r="C98" s="72">
        <v>29800</v>
      </c>
      <c r="E98" s="388">
        <v>25519</v>
      </c>
      <c r="F98" s="3"/>
      <c r="G98" s="395">
        <v>6415</v>
      </c>
      <c r="H98" s="3"/>
      <c r="I98" s="31">
        <f>E98+G98</f>
        <v>31934</v>
      </c>
      <c r="K98" s="216">
        <f t="shared" si="6"/>
        <v>7.1610738255033501E-2</v>
      </c>
    </row>
    <row r="99" spans="1:12" s="546" customFormat="1" x14ac:dyDescent="0.25">
      <c r="A99" s="44" t="s">
        <v>507</v>
      </c>
      <c r="C99" s="587">
        <v>2080</v>
      </c>
      <c r="E99" s="587">
        <v>0</v>
      </c>
      <c r="F99" s="3"/>
      <c r="G99" s="587">
        <v>0</v>
      </c>
      <c r="H99" s="3"/>
      <c r="I99" s="573">
        <f>E99+G99</f>
        <v>0</v>
      </c>
      <c r="K99" s="417">
        <f t="shared" si="6"/>
        <v>-1</v>
      </c>
    </row>
    <row r="100" spans="1:12" x14ac:dyDescent="0.25">
      <c r="A100" s="1" t="s">
        <v>129</v>
      </c>
      <c r="C100" s="72">
        <v>12000</v>
      </c>
      <c r="E100" s="388">
        <v>10000</v>
      </c>
      <c r="G100" s="394">
        <v>2000</v>
      </c>
      <c r="I100" s="31">
        <f>E100+G100</f>
        <v>12000</v>
      </c>
      <c r="K100" s="216">
        <f t="shared" si="6"/>
        <v>0</v>
      </c>
      <c r="L100" s="49"/>
    </row>
    <row r="101" spans="1:12" x14ac:dyDescent="0.25">
      <c r="A101" s="1" t="s">
        <v>130</v>
      </c>
      <c r="C101" s="72">
        <v>5700</v>
      </c>
      <c r="E101" s="388">
        <v>4706</v>
      </c>
      <c r="G101" s="394">
        <v>1020</v>
      </c>
      <c r="I101" s="31">
        <f t="shared" ref="I101:I112" si="7">E101+G101</f>
        <v>5726</v>
      </c>
      <c r="K101" s="216">
        <f t="shared" si="6"/>
        <v>4.5614035087719884E-3</v>
      </c>
      <c r="L101" s="178"/>
    </row>
    <row r="102" spans="1:12" x14ac:dyDescent="0.25">
      <c r="A102" s="1" t="s">
        <v>471</v>
      </c>
      <c r="C102" s="291">
        <v>13700</v>
      </c>
      <c r="E102" s="388">
        <v>10574</v>
      </c>
      <c r="G102" s="395">
        <v>750</v>
      </c>
      <c r="I102" s="31">
        <f t="shared" si="7"/>
        <v>11324</v>
      </c>
      <c r="K102" s="216">
        <v>1</v>
      </c>
      <c r="L102" s="178"/>
    </row>
    <row r="103" spans="1:12" x14ac:dyDescent="0.25">
      <c r="A103" s="1" t="s">
        <v>347</v>
      </c>
      <c r="C103" s="72">
        <v>6500</v>
      </c>
      <c r="E103" s="388">
        <v>2810</v>
      </c>
      <c r="G103" s="394">
        <v>3100</v>
      </c>
      <c r="I103" s="31">
        <f t="shared" si="7"/>
        <v>5910</v>
      </c>
      <c r="K103" s="216">
        <f t="shared" si="6"/>
        <v>-9.0769230769230824E-2</v>
      </c>
      <c r="L103" s="49"/>
    </row>
    <row r="104" spans="1:12" x14ac:dyDescent="0.25">
      <c r="A104" s="1" t="s">
        <v>142</v>
      </c>
      <c r="C104" s="72">
        <v>2350</v>
      </c>
      <c r="E104" s="388">
        <v>2086</v>
      </c>
      <c r="G104" s="394">
        <v>556</v>
      </c>
      <c r="I104" s="31">
        <f t="shared" si="7"/>
        <v>2642</v>
      </c>
      <c r="K104" s="216">
        <f t="shared" si="6"/>
        <v>0.12425531914893617</v>
      </c>
      <c r="L104" s="49"/>
    </row>
    <row r="105" spans="1:12" x14ac:dyDescent="0.25">
      <c r="A105" s="44" t="s">
        <v>247</v>
      </c>
      <c r="C105" s="72">
        <v>7500</v>
      </c>
      <c r="E105" s="388">
        <v>4206</v>
      </c>
      <c r="G105" s="394">
        <v>70</v>
      </c>
      <c r="I105" s="31">
        <f t="shared" si="7"/>
        <v>4276</v>
      </c>
      <c r="K105" s="216">
        <f t="shared" si="6"/>
        <v>-0.42986666666666662</v>
      </c>
      <c r="L105" s="49"/>
    </row>
    <row r="106" spans="1:12" x14ac:dyDescent="0.25">
      <c r="A106" s="1" t="s">
        <v>132</v>
      </c>
      <c r="C106" s="72">
        <v>8500</v>
      </c>
      <c r="E106" s="388">
        <v>3698</v>
      </c>
      <c r="G106" s="398">
        <v>0</v>
      </c>
      <c r="I106" s="31">
        <f t="shared" si="7"/>
        <v>3698</v>
      </c>
      <c r="K106" s="216">
        <f t="shared" si="6"/>
        <v>-0.56494117647058828</v>
      </c>
      <c r="L106" s="49"/>
    </row>
    <row r="107" spans="1:12" x14ac:dyDescent="0.25">
      <c r="A107" s="1" t="s">
        <v>439</v>
      </c>
      <c r="C107" s="72">
        <v>1200</v>
      </c>
      <c r="E107" s="391">
        <v>0</v>
      </c>
      <c r="G107" s="398">
        <v>1200</v>
      </c>
      <c r="I107" s="31">
        <f t="shared" si="7"/>
        <v>1200</v>
      </c>
      <c r="K107" s="216">
        <f t="shared" si="6"/>
        <v>0</v>
      </c>
    </row>
    <row r="108" spans="1:12" x14ac:dyDescent="0.25">
      <c r="A108" s="1" t="s">
        <v>133</v>
      </c>
      <c r="C108" s="72">
        <v>28100</v>
      </c>
      <c r="E108" s="387">
        <v>15190</v>
      </c>
      <c r="G108" s="394">
        <v>5000</v>
      </c>
      <c r="I108" s="31">
        <f t="shared" si="7"/>
        <v>20190</v>
      </c>
      <c r="K108" s="216">
        <f t="shared" si="6"/>
        <v>-0.28149466192170813</v>
      </c>
      <c r="L108" s="49"/>
    </row>
    <row r="109" spans="1:12" x14ac:dyDescent="0.25">
      <c r="A109" s="1" t="s">
        <v>134</v>
      </c>
      <c r="C109" s="72">
        <v>3500</v>
      </c>
      <c r="E109" s="388">
        <v>5299</v>
      </c>
      <c r="G109" s="394">
        <v>200</v>
      </c>
      <c r="I109" s="31">
        <f t="shared" si="7"/>
        <v>5499</v>
      </c>
      <c r="K109" s="216">
        <f t="shared" si="6"/>
        <v>0.57114285714285717</v>
      </c>
      <c r="L109" s="49"/>
    </row>
    <row r="110" spans="1:12" x14ac:dyDescent="0.25">
      <c r="A110" s="1" t="s">
        <v>135</v>
      </c>
      <c r="C110" s="72">
        <v>2000</v>
      </c>
      <c r="E110" s="388">
        <v>729</v>
      </c>
      <c r="G110" s="394">
        <v>850</v>
      </c>
      <c r="I110" s="31">
        <f t="shared" si="7"/>
        <v>1579</v>
      </c>
      <c r="K110" s="216">
        <f t="shared" si="6"/>
        <v>-0.21050000000000002</v>
      </c>
    </row>
    <row r="111" spans="1:12" x14ac:dyDescent="0.25">
      <c r="A111" s="1" t="s">
        <v>136</v>
      </c>
      <c r="C111" s="72">
        <v>1200</v>
      </c>
      <c r="E111" s="388">
        <v>4025</v>
      </c>
      <c r="G111" s="395">
        <v>100</v>
      </c>
      <c r="I111" s="31">
        <f t="shared" si="7"/>
        <v>4125</v>
      </c>
      <c r="K111" s="216">
        <f t="shared" si="6"/>
        <v>2.4375</v>
      </c>
    </row>
    <row r="112" spans="1:12" x14ac:dyDescent="0.25">
      <c r="A112" s="1" t="s">
        <v>137</v>
      </c>
      <c r="C112" s="72">
        <v>2654</v>
      </c>
      <c r="E112" s="388">
        <v>4164</v>
      </c>
      <c r="G112" s="397">
        <v>0</v>
      </c>
      <c r="I112" s="31">
        <f t="shared" si="7"/>
        <v>4164</v>
      </c>
      <c r="K112" s="216">
        <f t="shared" si="6"/>
        <v>0.56895252449133382</v>
      </c>
    </row>
    <row r="113" spans="1:13" x14ac:dyDescent="0.25">
      <c r="A113" s="44" t="s">
        <v>464</v>
      </c>
      <c r="C113" s="72">
        <v>0</v>
      </c>
      <c r="E113" s="392">
        <v>0</v>
      </c>
      <c r="G113" s="397">
        <v>0</v>
      </c>
      <c r="I113" s="427">
        <f t="shared" ref="I113" si="8">E113+G113</f>
        <v>0</v>
      </c>
      <c r="K113" s="216" t="e">
        <f t="shared" ref="K113" si="9">+I113/C113-1</f>
        <v>#DIV/0!</v>
      </c>
    </row>
    <row r="114" spans="1:13" ht="18" x14ac:dyDescent="0.4">
      <c r="A114" s="1" t="s">
        <v>138</v>
      </c>
      <c r="C114" s="116">
        <v>1200</v>
      </c>
      <c r="E114" s="389">
        <v>534</v>
      </c>
      <c r="F114" s="145"/>
      <c r="G114" s="396">
        <v>800</v>
      </c>
      <c r="H114" s="145"/>
      <c r="I114" s="80">
        <f>E114+G114</f>
        <v>1334</v>
      </c>
      <c r="J114" s="342"/>
      <c r="K114" s="297">
        <f t="shared" si="6"/>
        <v>0.11166666666666658</v>
      </c>
      <c r="L114" s="49"/>
    </row>
    <row r="115" spans="1:13" ht="18" x14ac:dyDescent="0.4">
      <c r="A115" s="69" t="s">
        <v>274</v>
      </c>
      <c r="C115" s="116">
        <f>SUM(C97:C114)</f>
        <v>171984</v>
      </c>
      <c r="E115" s="75">
        <f>SUM(E97:E114)</f>
        <v>129540</v>
      </c>
      <c r="G115" s="45">
        <f>SUM(G97:G114)</f>
        <v>30061</v>
      </c>
      <c r="I115" s="45">
        <f>SUM(I97:I114)</f>
        <v>159601</v>
      </c>
      <c r="J115" s="342"/>
      <c r="K115" s="297">
        <f t="shared" si="6"/>
        <v>-7.2000883803144511E-2</v>
      </c>
      <c r="L115" s="49">
        <f>I115-156092</f>
        <v>3509</v>
      </c>
      <c r="M115" s="49"/>
    </row>
    <row r="116" spans="1:13" ht="9.9499999999999993" customHeight="1" x14ac:dyDescent="0.25">
      <c r="C116" s="72"/>
      <c r="E116" s="72"/>
      <c r="G116" s="31"/>
      <c r="I116" s="31"/>
    </row>
    <row r="117" spans="1:13" x14ac:dyDescent="0.25">
      <c r="A117" s="2" t="s">
        <v>140</v>
      </c>
      <c r="C117" s="72"/>
      <c r="E117" s="72"/>
      <c r="G117" s="31"/>
      <c r="I117" s="31"/>
    </row>
    <row r="118" spans="1:13" x14ac:dyDescent="0.25">
      <c r="A118" s="44" t="s">
        <v>392</v>
      </c>
      <c r="C118" s="72">
        <v>40000</v>
      </c>
      <c r="E118" s="399">
        <v>33333</v>
      </c>
      <c r="G118" s="402">
        <v>6667</v>
      </c>
      <c r="I118" s="31">
        <f>E118+G118</f>
        <v>40000</v>
      </c>
      <c r="K118" s="216">
        <f t="shared" ref="K118:K143" si="10">+I118/C118-1</f>
        <v>0</v>
      </c>
    </row>
    <row r="119" spans="1:13" x14ac:dyDescent="0.25">
      <c r="A119" s="44" t="s">
        <v>260</v>
      </c>
      <c r="C119" s="72">
        <v>422000</v>
      </c>
      <c r="E119" s="399">
        <f>359343+42000</f>
        <v>401343</v>
      </c>
      <c r="G119" s="402">
        <f>92933+8000</f>
        <v>100933</v>
      </c>
      <c r="I119" s="31">
        <f>E119+G119</f>
        <v>502276</v>
      </c>
      <c r="K119" s="216">
        <f t="shared" si="10"/>
        <v>0.1902274881516588</v>
      </c>
      <c r="L119" s="49"/>
    </row>
    <row r="120" spans="1:13" s="546" customFormat="1" x14ac:dyDescent="0.25">
      <c r="A120" s="44" t="s">
        <v>504</v>
      </c>
      <c r="C120" s="587">
        <v>29120</v>
      </c>
      <c r="E120" s="587"/>
      <c r="G120" s="573"/>
      <c r="I120" s="573"/>
      <c r="K120" s="417"/>
      <c r="L120" s="413"/>
    </row>
    <row r="121" spans="1:13" x14ac:dyDescent="0.25">
      <c r="A121" s="44" t="s">
        <v>261</v>
      </c>
      <c r="C121" s="72">
        <v>40000</v>
      </c>
      <c r="E121" s="399">
        <v>33725</v>
      </c>
      <c r="G121" s="402">
        <v>8109</v>
      </c>
      <c r="I121" s="31">
        <f t="shared" ref="I121:I142" si="11">E121+G121</f>
        <v>41834</v>
      </c>
      <c r="K121" s="216">
        <f t="shared" si="10"/>
        <v>4.5849999999999946E-2</v>
      </c>
    </row>
    <row r="122" spans="1:13" x14ac:dyDescent="0.25">
      <c r="A122" s="44" t="s">
        <v>262</v>
      </c>
      <c r="C122" s="72">
        <v>71700</v>
      </c>
      <c r="E122" s="399">
        <v>66243</v>
      </c>
      <c r="G122" s="402">
        <v>12920</v>
      </c>
      <c r="I122" s="31">
        <f t="shared" si="11"/>
        <v>79163</v>
      </c>
      <c r="K122" s="216">
        <f t="shared" si="10"/>
        <v>0.10408647140864713</v>
      </c>
    </row>
    <row r="123" spans="1:13" x14ac:dyDescent="0.25">
      <c r="A123" s="44" t="s">
        <v>263</v>
      </c>
      <c r="C123" s="72">
        <v>21300</v>
      </c>
      <c r="E123" s="399">
        <v>21767</v>
      </c>
      <c r="G123" s="402">
        <v>6044</v>
      </c>
      <c r="I123" s="31">
        <f t="shared" si="11"/>
        <v>27811</v>
      </c>
      <c r="K123" s="216">
        <f t="shared" si="10"/>
        <v>0.30568075117370896</v>
      </c>
    </row>
    <row r="124" spans="1:13" x14ac:dyDescent="0.25">
      <c r="A124" s="44" t="s">
        <v>264</v>
      </c>
      <c r="C124" s="72">
        <v>3600</v>
      </c>
      <c r="E124" s="401">
        <v>1152</v>
      </c>
      <c r="F124" s="187"/>
      <c r="G124" s="406">
        <v>1000</v>
      </c>
      <c r="H124" s="187"/>
      <c r="I124" s="427">
        <f t="shared" si="11"/>
        <v>2152</v>
      </c>
      <c r="K124" s="216">
        <f t="shared" si="10"/>
        <v>-0.40222222222222226</v>
      </c>
    </row>
    <row r="125" spans="1:13" x14ac:dyDescent="0.25">
      <c r="A125" s="44" t="s">
        <v>265</v>
      </c>
      <c r="C125" s="72">
        <v>28000</v>
      </c>
      <c r="E125" s="399">
        <v>24221</v>
      </c>
      <c r="G125" s="402">
        <v>3500</v>
      </c>
      <c r="I125" s="31">
        <f t="shared" si="11"/>
        <v>27721</v>
      </c>
      <c r="K125" s="216">
        <f t="shared" si="10"/>
        <v>-9.9642857142857588E-3</v>
      </c>
      <c r="L125" s="49"/>
    </row>
    <row r="126" spans="1:13" x14ac:dyDescent="0.25">
      <c r="A126" s="44" t="s">
        <v>258</v>
      </c>
      <c r="C126" s="72">
        <v>0</v>
      </c>
      <c r="E126" s="399">
        <v>403</v>
      </c>
      <c r="G126" s="403">
        <v>5</v>
      </c>
      <c r="I126" s="31">
        <f t="shared" si="11"/>
        <v>408</v>
      </c>
      <c r="K126" s="216" t="e">
        <f t="shared" si="10"/>
        <v>#DIV/0!</v>
      </c>
    </row>
    <row r="127" spans="1:13" x14ac:dyDescent="0.25">
      <c r="A127" s="44" t="s">
        <v>257</v>
      </c>
      <c r="C127" s="72">
        <v>13000</v>
      </c>
      <c r="E127" s="399">
        <v>8519</v>
      </c>
      <c r="G127" s="402">
        <v>2000</v>
      </c>
      <c r="I127" s="31">
        <f t="shared" si="11"/>
        <v>10519</v>
      </c>
      <c r="K127" s="216">
        <f t="shared" si="10"/>
        <v>-0.19084615384615389</v>
      </c>
      <c r="L127" s="49"/>
    </row>
    <row r="128" spans="1:13" x14ac:dyDescent="0.25">
      <c r="A128" s="44" t="s">
        <v>256</v>
      </c>
      <c r="C128" s="72">
        <v>3200</v>
      </c>
      <c r="E128" s="399">
        <v>9318</v>
      </c>
      <c r="G128" s="402">
        <v>1200</v>
      </c>
      <c r="I128" s="31">
        <f t="shared" si="11"/>
        <v>10518</v>
      </c>
      <c r="K128" s="216">
        <f t="shared" si="10"/>
        <v>2.2868750000000002</v>
      </c>
    </row>
    <row r="129" spans="1:13" x14ac:dyDescent="0.25">
      <c r="A129" s="44" t="s">
        <v>266</v>
      </c>
      <c r="C129" s="72">
        <v>2500</v>
      </c>
      <c r="E129" s="399">
        <v>839</v>
      </c>
      <c r="G129" s="406">
        <v>1000</v>
      </c>
      <c r="I129" s="31">
        <f t="shared" si="11"/>
        <v>1839</v>
      </c>
      <c r="K129" s="216">
        <f t="shared" si="10"/>
        <v>-0.26439999999999997</v>
      </c>
    </row>
    <row r="130" spans="1:13" x14ac:dyDescent="0.25">
      <c r="A130" s="44" t="s">
        <v>366</v>
      </c>
      <c r="C130" s="72">
        <v>1500</v>
      </c>
      <c r="E130" s="399">
        <v>1586</v>
      </c>
      <c r="G130" s="402">
        <v>650</v>
      </c>
      <c r="I130" s="31">
        <f t="shared" si="11"/>
        <v>2236</v>
      </c>
      <c r="K130" s="216">
        <f t="shared" si="10"/>
        <v>0.49066666666666658</v>
      </c>
    </row>
    <row r="131" spans="1:13" x14ac:dyDescent="0.25">
      <c r="A131" s="44" t="s">
        <v>290</v>
      </c>
      <c r="C131" s="72">
        <v>2500</v>
      </c>
      <c r="E131" s="399">
        <v>3919</v>
      </c>
      <c r="G131" s="402">
        <v>200</v>
      </c>
      <c r="I131" s="31">
        <f t="shared" si="11"/>
        <v>4119</v>
      </c>
      <c r="K131" s="216">
        <f t="shared" si="10"/>
        <v>0.64759999999999995</v>
      </c>
      <c r="L131" s="49"/>
    </row>
    <row r="132" spans="1:13" x14ac:dyDescent="0.25">
      <c r="A132" s="44" t="s">
        <v>267</v>
      </c>
      <c r="C132" s="72">
        <v>8300</v>
      </c>
      <c r="E132" s="399">
        <v>2057</v>
      </c>
      <c r="G132" s="402">
        <v>1000</v>
      </c>
      <c r="I132" s="31">
        <f t="shared" si="11"/>
        <v>3057</v>
      </c>
      <c r="K132" s="216">
        <f t="shared" si="10"/>
        <v>-0.6316867469879518</v>
      </c>
    </row>
    <row r="133" spans="1:13" x14ac:dyDescent="0.25">
      <c r="A133" s="44" t="s">
        <v>268</v>
      </c>
      <c r="C133" s="72">
        <v>12500</v>
      </c>
      <c r="E133" s="399">
        <v>10946</v>
      </c>
      <c r="G133" s="402">
        <v>2361</v>
      </c>
      <c r="I133" s="31">
        <f t="shared" si="11"/>
        <v>13307</v>
      </c>
      <c r="K133" s="216">
        <f t="shared" si="10"/>
        <v>6.4559999999999951E-2</v>
      </c>
    </row>
    <row r="134" spans="1:13" x14ac:dyDescent="0.25">
      <c r="A134" s="44" t="s">
        <v>269</v>
      </c>
      <c r="C134" s="72">
        <v>32300</v>
      </c>
      <c r="E134" s="399">
        <v>14262</v>
      </c>
      <c r="G134" s="402">
        <v>0</v>
      </c>
      <c r="I134" s="31">
        <f t="shared" si="11"/>
        <v>14262</v>
      </c>
      <c r="K134" s="216">
        <f t="shared" si="10"/>
        <v>-0.55845201238390096</v>
      </c>
    </row>
    <row r="135" spans="1:13" x14ac:dyDescent="0.25">
      <c r="A135" s="44" t="s">
        <v>460</v>
      </c>
      <c r="C135" s="72">
        <v>0</v>
      </c>
      <c r="E135" s="399">
        <v>0</v>
      </c>
      <c r="G135" s="404">
        <v>0</v>
      </c>
      <c r="I135" s="31">
        <f t="shared" si="11"/>
        <v>0</v>
      </c>
      <c r="K135" s="216">
        <v>1</v>
      </c>
    </row>
    <row r="136" spans="1:13" x14ac:dyDescent="0.25">
      <c r="A136" s="44" t="s">
        <v>270</v>
      </c>
      <c r="C136" s="72">
        <v>6000</v>
      </c>
      <c r="E136" s="399">
        <v>5947</v>
      </c>
      <c r="G136" s="402">
        <v>1230</v>
      </c>
      <c r="I136" s="31">
        <f t="shared" si="11"/>
        <v>7177</v>
      </c>
      <c r="K136" s="216">
        <f t="shared" si="10"/>
        <v>0.1961666666666666</v>
      </c>
      <c r="L136" s="49"/>
    </row>
    <row r="137" spans="1:13" x14ac:dyDescent="0.25">
      <c r="A137" s="44" t="s">
        <v>291</v>
      </c>
      <c r="C137" s="72">
        <v>5200</v>
      </c>
      <c r="E137" s="399">
        <v>1051</v>
      </c>
      <c r="G137" s="402">
        <v>1000</v>
      </c>
      <c r="I137" s="31">
        <f t="shared" si="11"/>
        <v>2051</v>
      </c>
      <c r="K137" s="216">
        <f t="shared" si="10"/>
        <v>-0.60557692307692301</v>
      </c>
      <c r="L137" s="49"/>
    </row>
    <row r="138" spans="1:13" x14ac:dyDescent="0.25">
      <c r="A138" s="44" t="s">
        <v>271</v>
      </c>
      <c r="C138" s="72">
        <v>1300</v>
      </c>
      <c r="E138" s="399">
        <v>3012</v>
      </c>
      <c r="G138" s="402">
        <v>481</v>
      </c>
      <c r="I138" s="31">
        <f t="shared" si="11"/>
        <v>3493</v>
      </c>
      <c r="K138" s="216">
        <f t="shared" si="10"/>
        <v>1.686923076923077</v>
      </c>
    </row>
    <row r="139" spans="1:13" x14ac:dyDescent="0.25">
      <c r="A139" s="44" t="s">
        <v>317</v>
      </c>
      <c r="C139" s="72">
        <v>10600</v>
      </c>
      <c r="E139" s="399">
        <v>6944</v>
      </c>
      <c r="G139" s="406">
        <v>4200</v>
      </c>
      <c r="I139" s="31">
        <f t="shared" si="11"/>
        <v>11144</v>
      </c>
      <c r="K139" s="216">
        <f t="shared" si="10"/>
        <v>5.1320754716981165E-2</v>
      </c>
    </row>
    <row r="140" spans="1:13" x14ac:dyDescent="0.25">
      <c r="A140" s="44" t="s">
        <v>367</v>
      </c>
      <c r="C140" s="72">
        <v>0</v>
      </c>
      <c r="E140" s="587">
        <v>1500</v>
      </c>
      <c r="G140" s="404">
        <v>0</v>
      </c>
      <c r="I140" s="587">
        <f t="shared" si="11"/>
        <v>1500</v>
      </c>
      <c r="K140" s="216" t="e">
        <f t="shared" si="10"/>
        <v>#DIV/0!</v>
      </c>
    </row>
    <row r="141" spans="1:13" x14ac:dyDescent="0.25">
      <c r="A141" s="44" t="s">
        <v>400</v>
      </c>
      <c r="C141" s="72">
        <v>1700</v>
      </c>
      <c r="E141" s="399">
        <v>647</v>
      </c>
      <c r="G141" s="404">
        <v>0</v>
      </c>
      <c r="I141" s="31">
        <f t="shared" si="11"/>
        <v>647</v>
      </c>
      <c r="K141" s="216">
        <f t="shared" si="10"/>
        <v>-0.61941176470588233</v>
      </c>
    </row>
    <row r="142" spans="1:13" ht="18" x14ac:dyDescent="0.4">
      <c r="A142" s="44" t="s">
        <v>272</v>
      </c>
      <c r="C142" s="116">
        <v>500</v>
      </c>
      <c r="E142" s="400">
        <v>500</v>
      </c>
      <c r="G142" s="405">
        <v>0</v>
      </c>
      <c r="H142" s="37"/>
      <c r="I142" s="80">
        <f t="shared" si="11"/>
        <v>500</v>
      </c>
      <c r="K142" s="297">
        <f t="shared" si="10"/>
        <v>0</v>
      </c>
    </row>
    <row r="143" spans="1:13" ht="18" x14ac:dyDescent="0.4">
      <c r="A143" s="69" t="s">
        <v>273</v>
      </c>
      <c r="C143" s="116">
        <f>SUM(C118:C142)</f>
        <v>756820</v>
      </c>
      <c r="E143" s="75">
        <f>SUM(E118:E142)</f>
        <v>653234</v>
      </c>
      <c r="F143" s="4"/>
      <c r="G143" s="45">
        <f>SUM(G118:G142)</f>
        <v>154500</v>
      </c>
      <c r="H143" s="36">
        <v>0</v>
      </c>
      <c r="I143" s="45">
        <f>SUM(I118:I142)</f>
        <v>807734</v>
      </c>
      <c r="K143" s="297">
        <f t="shared" si="10"/>
        <v>6.7273592135514315E-2</v>
      </c>
      <c r="L143" s="49">
        <f>I143-726965</f>
        <v>80769</v>
      </c>
      <c r="M143" s="1">
        <f>50000+28537</f>
        <v>78537</v>
      </c>
    </row>
    <row r="144" spans="1:13" ht="18" x14ac:dyDescent="0.4">
      <c r="A144" s="69"/>
      <c r="C144" s="116"/>
      <c r="E144" s="75"/>
      <c r="F144" s="4"/>
      <c r="G144" s="45"/>
      <c r="H144" s="36"/>
      <c r="I144" s="45"/>
      <c r="K144" s="47" t="s">
        <v>324</v>
      </c>
      <c r="L144" s="49"/>
    </row>
    <row r="145" spans="1:12" x14ac:dyDescent="0.25">
      <c r="A145" s="623" t="s">
        <v>47</v>
      </c>
      <c r="B145" s="623"/>
      <c r="C145" s="623"/>
      <c r="D145" s="623"/>
      <c r="E145" s="623"/>
      <c r="F145" s="623"/>
      <c r="G145" s="623"/>
      <c r="H145" s="623"/>
      <c r="I145" s="623"/>
      <c r="J145" s="623"/>
      <c r="K145" s="623"/>
      <c r="L145" s="49"/>
    </row>
    <row r="146" spans="1:12" x14ac:dyDescent="0.25">
      <c r="A146" s="623" t="s">
        <v>227</v>
      </c>
      <c r="B146" s="623"/>
      <c r="C146" s="623"/>
      <c r="D146" s="623"/>
      <c r="E146" s="623"/>
      <c r="F146" s="623"/>
      <c r="G146" s="623"/>
      <c r="H146" s="623"/>
      <c r="I146" s="623"/>
      <c r="J146" s="623"/>
      <c r="K146" s="623"/>
      <c r="L146" s="49"/>
    </row>
    <row r="147" spans="1:12" x14ac:dyDescent="0.25">
      <c r="A147" s="623" t="s">
        <v>322</v>
      </c>
      <c r="B147" s="623"/>
      <c r="C147" s="623"/>
      <c r="D147" s="623"/>
      <c r="E147" s="623"/>
      <c r="F147" s="623"/>
      <c r="G147" s="623"/>
      <c r="H147" s="623"/>
      <c r="I147" s="623"/>
      <c r="J147" s="623"/>
      <c r="K147" s="623"/>
    </row>
    <row r="148" spans="1:12" x14ac:dyDescent="0.25">
      <c r="A148" s="623" t="str">
        <f>A5</f>
        <v>Year Ending September 30, 2018</v>
      </c>
      <c r="B148" s="623"/>
      <c r="C148" s="623"/>
      <c r="D148" s="623"/>
      <c r="E148" s="623"/>
      <c r="F148" s="623"/>
      <c r="G148" s="623"/>
      <c r="H148" s="623"/>
      <c r="I148" s="623"/>
      <c r="J148" s="623"/>
      <c r="K148" s="623"/>
    </row>
    <row r="150" spans="1:12" x14ac:dyDescent="0.25">
      <c r="E150" s="72"/>
      <c r="G150" s="31"/>
      <c r="I150" s="31"/>
    </row>
    <row r="151" spans="1:12" x14ac:dyDescent="0.25">
      <c r="E151" s="633" t="s">
        <v>109</v>
      </c>
      <c r="F151" s="633"/>
      <c r="G151" s="633"/>
      <c r="H151" s="633"/>
      <c r="I151" s="633"/>
    </row>
    <row r="152" spans="1:12" x14ac:dyDescent="0.25">
      <c r="C152" s="7" t="s">
        <v>386</v>
      </c>
      <c r="E152" s="86" t="str">
        <f>E9</f>
        <v xml:space="preserve">10 Months </v>
      </c>
      <c r="F152" s="77"/>
      <c r="G152" s="26" t="str">
        <f>G9</f>
        <v xml:space="preserve">2 Months </v>
      </c>
      <c r="H152" s="77"/>
      <c r="I152" s="26">
        <f>I9</f>
        <v>2018</v>
      </c>
      <c r="K152" s="7" t="s">
        <v>384</v>
      </c>
    </row>
    <row r="153" spans="1:12" x14ac:dyDescent="0.25">
      <c r="C153" s="215" t="s">
        <v>85</v>
      </c>
      <c r="E153" s="121" t="s">
        <v>83</v>
      </c>
      <c r="G153" s="48" t="s">
        <v>84</v>
      </c>
      <c r="I153" s="48" t="s">
        <v>84</v>
      </c>
      <c r="K153" s="215" t="s">
        <v>385</v>
      </c>
    </row>
    <row r="154" spans="1:12" x14ac:dyDescent="0.25">
      <c r="A154" s="2" t="s">
        <v>369</v>
      </c>
    </row>
    <row r="155" spans="1:12" x14ac:dyDescent="0.25">
      <c r="A155" s="44" t="s">
        <v>368</v>
      </c>
      <c r="C155" s="72">
        <v>26500</v>
      </c>
      <c r="E155" s="407">
        <v>17845</v>
      </c>
      <c r="F155" s="3"/>
      <c r="G155" s="412">
        <v>0</v>
      </c>
      <c r="H155" s="3"/>
      <c r="I155" s="31">
        <f>E155+G155</f>
        <v>17845</v>
      </c>
      <c r="K155" s="216">
        <f t="shared" ref="K155:K171" si="12">+I155/C155-1</f>
        <v>-0.32660377358490567</v>
      </c>
    </row>
    <row r="156" spans="1:12" x14ac:dyDescent="0.25">
      <c r="A156" s="44" t="s">
        <v>370</v>
      </c>
      <c r="C156" s="72">
        <v>1930</v>
      </c>
      <c r="E156" s="407">
        <v>1365</v>
      </c>
      <c r="F156" s="3"/>
      <c r="G156" s="412">
        <v>0</v>
      </c>
      <c r="H156" s="3"/>
      <c r="I156" s="31">
        <f t="shared" ref="I156:I178" si="13">E156+G156</f>
        <v>1365</v>
      </c>
      <c r="K156" s="216">
        <f t="shared" si="12"/>
        <v>-0.29274611398963735</v>
      </c>
    </row>
    <row r="157" spans="1:12" x14ac:dyDescent="0.25">
      <c r="A157" s="44" t="s">
        <v>371</v>
      </c>
      <c r="C157" s="72">
        <v>15700</v>
      </c>
      <c r="E157" s="409">
        <v>13421</v>
      </c>
      <c r="G157" s="412">
        <v>3330</v>
      </c>
      <c r="I157" s="31">
        <f t="shared" si="13"/>
        <v>16751</v>
      </c>
      <c r="K157" s="216">
        <f t="shared" si="12"/>
        <v>6.6942675159235687E-2</v>
      </c>
    </row>
    <row r="158" spans="1:12" s="546" customFormat="1" x14ac:dyDescent="0.25">
      <c r="A158" s="44" t="s">
        <v>517</v>
      </c>
      <c r="C158" s="587">
        <v>2080</v>
      </c>
      <c r="E158" s="414"/>
      <c r="G158" s="573"/>
      <c r="I158" s="573"/>
      <c r="K158" s="417"/>
    </row>
    <row r="159" spans="1:12" x14ac:dyDescent="0.25">
      <c r="A159" s="44" t="s">
        <v>372</v>
      </c>
      <c r="C159" s="72">
        <v>1200</v>
      </c>
      <c r="E159" s="409">
        <v>1027</v>
      </c>
      <c r="G159" s="412">
        <v>263</v>
      </c>
      <c r="I159" s="31">
        <f t="shared" si="13"/>
        <v>1290</v>
      </c>
      <c r="K159" s="216">
        <f t="shared" si="12"/>
        <v>7.4999999999999956E-2</v>
      </c>
    </row>
    <row r="160" spans="1:12" x14ac:dyDescent="0.25">
      <c r="A160" s="44" t="s">
        <v>408</v>
      </c>
      <c r="C160" s="254">
        <v>21900</v>
      </c>
      <c r="E160" s="409">
        <v>18128</v>
      </c>
      <c r="G160" s="412">
        <v>4232</v>
      </c>
      <c r="I160" s="31">
        <f t="shared" si="13"/>
        <v>22360</v>
      </c>
      <c r="K160" s="216">
        <f t="shared" si="12"/>
        <v>2.1004566210045761E-2</v>
      </c>
    </row>
    <row r="161" spans="1:12" s="546" customFormat="1" x14ac:dyDescent="0.25">
      <c r="A161" s="44" t="s">
        <v>518</v>
      </c>
      <c r="C161" s="517">
        <v>2080</v>
      </c>
      <c r="E161" s="414"/>
      <c r="G161" s="573"/>
      <c r="I161" s="573"/>
      <c r="K161" s="417"/>
    </row>
    <row r="162" spans="1:12" x14ac:dyDescent="0.25">
      <c r="A162" s="44" t="s">
        <v>409</v>
      </c>
      <c r="C162" s="254">
        <v>1680</v>
      </c>
      <c r="E162" s="409">
        <v>1387</v>
      </c>
      <c r="G162" s="412">
        <v>325</v>
      </c>
      <c r="I162" s="31">
        <f t="shared" si="13"/>
        <v>1712</v>
      </c>
      <c r="K162" s="216">
        <f t="shared" si="12"/>
        <v>1.904761904761898E-2</v>
      </c>
    </row>
    <row r="163" spans="1:12" x14ac:dyDescent="0.25">
      <c r="A163" s="44" t="s">
        <v>373</v>
      </c>
      <c r="C163" s="72">
        <v>3620</v>
      </c>
      <c r="E163" s="409">
        <v>2876</v>
      </c>
      <c r="G163" s="412">
        <v>950</v>
      </c>
      <c r="I163" s="31">
        <f t="shared" si="13"/>
        <v>3826</v>
      </c>
      <c r="K163" s="216">
        <f t="shared" si="12"/>
        <v>5.6906077348066297E-2</v>
      </c>
    </row>
    <row r="164" spans="1:12" x14ac:dyDescent="0.25">
      <c r="A164" s="44" t="s">
        <v>255</v>
      </c>
      <c r="C164" s="72">
        <v>1800</v>
      </c>
      <c r="E164" s="409">
        <v>2440</v>
      </c>
      <c r="G164" s="424">
        <v>4100</v>
      </c>
      <c r="I164" s="31">
        <f t="shared" si="13"/>
        <v>6540</v>
      </c>
      <c r="K164" s="216">
        <f t="shared" si="12"/>
        <v>2.6333333333333333</v>
      </c>
    </row>
    <row r="165" spans="1:12" x14ac:dyDescent="0.25">
      <c r="A165" s="44" t="s">
        <v>393</v>
      </c>
      <c r="C165" s="72"/>
      <c r="E165" s="409">
        <v>0</v>
      </c>
      <c r="G165" s="412"/>
      <c r="I165" s="31"/>
      <c r="K165" s="216"/>
    </row>
    <row r="166" spans="1:12" x14ac:dyDescent="0.25">
      <c r="A166" s="190" t="s">
        <v>395</v>
      </c>
      <c r="C166" s="72">
        <v>26800</v>
      </c>
      <c r="E166" s="409">
        <v>22890</v>
      </c>
      <c r="G166" s="412">
        <v>5420</v>
      </c>
      <c r="I166" s="31">
        <f t="shared" si="13"/>
        <v>28310</v>
      </c>
      <c r="K166" s="216">
        <f t="shared" si="12"/>
        <v>5.6343283582089621E-2</v>
      </c>
      <c r="L166" s="49"/>
    </row>
    <row r="167" spans="1:12" x14ac:dyDescent="0.25">
      <c r="A167" s="190" t="s">
        <v>399</v>
      </c>
      <c r="C167" s="254">
        <v>2070</v>
      </c>
      <c r="E167" s="409">
        <v>1751</v>
      </c>
      <c r="G167" s="412">
        <v>415</v>
      </c>
      <c r="I167" s="31">
        <f t="shared" si="13"/>
        <v>2166</v>
      </c>
      <c r="K167" s="216">
        <f t="shared" si="12"/>
        <v>4.6376811594202927E-2</v>
      </c>
    </row>
    <row r="168" spans="1:12" x14ac:dyDescent="0.25">
      <c r="A168" s="190" t="s">
        <v>268</v>
      </c>
      <c r="C168" s="254">
        <v>4500</v>
      </c>
      <c r="E168" s="409">
        <v>1361</v>
      </c>
      <c r="G168" s="412">
        <v>575</v>
      </c>
      <c r="I168" s="31">
        <f t="shared" si="13"/>
        <v>1936</v>
      </c>
      <c r="K168" s="216">
        <f t="shared" si="12"/>
        <v>-0.56977777777777772</v>
      </c>
    </row>
    <row r="169" spans="1:12" x14ac:dyDescent="0.25">
      <c r="A169" s="190" t="s">
        <v>375</v>
      </c>
      <c r="C169" s="254">
        <v>800</v>
      </c>
      <c r="E169" s="409">
        <v>2691</v>
      </c>
      <c r="G169" s="412"/>
      <c r="I169" s="31">
        <f t="shared" si="13"/>
        <v>2691</v>
      </c>
      <c r="K169" s="216">
        <f t="shared" si="12"/>
        <v>2.36375</v>
      </c>
    </row>
    <row r="170" spans="1:12" x14ac:dyDescent="0.25">
      <c r="A170" s="190" t="s">
        <v>270</v>
      </c>
      <c r="C170" s="72">
        <v>2200</v>
      </c>
      <c r="E170" s="409">
        <v>2362</v>
      </c>
      <c r="G170" s="412">
        <v>472</v>
      </c>
      <c r="I170" s="31">
        <f t="shared" si="13"/>
        <v>2834</v>
      </c>
      <c r="K170" s="216">
        <f t="shared" si="12"/>
        <v>0.28818181818181809</v>
      </c>
    </row>
    <row r="171" spans="1:12" x14ac:dyDescent="0.25">
      <c r="A171" s="190" t="s">
        <v>257</v>
      </c>
      <c r="C171" s="72">
        <v>100</v>
      </c>
      <c r="E171" s="410">
        <v>425</v>
      </c>
      <c r="F171" s="174"/>
      <c r="G171" s="415">
        <v>0</v>
      </c>
      <c r="H171" s="174"/>
      <c r="I171" s="254">
        <f t="shared" si="13"/>
        <v>425</v>
      </c>
      <c r="K171" s="216">
        <f t="shared" si="12"/>
        <v>3.25</v>
      </c>
    </row>
    <row r="172" spans="1:12" x14ac:dyDescent="0.25">
      <c r="A172" s="44" t="s">
        <v>374</v>
      </c>
      <c r="C172" s="72"/>
      <c r="E172" s="414"/>
      <c r="G172" s="412"/>
      <c r="I172" s="31"/>
    </row>
    <row r="173" spans="1:12" x14ac:dyDescent="0.25">
      <c r="A173" s="190" t="s">
        <v>270</v>
      </c>
      <c r="C173" s="72">
        <v>2400</v>
      </c>
      <c r="E173" s="409">
        <v>1475</v>
      </c>
      <c r="G173" s="412">
        <v>800</v>
      </c>
      <c r="H173" s="1">
        <v>450</v>
      </c>
      <c r="I173" s="31">
        <f t="shared" si="13"/>
        <v>2275</v>
      </c>
      <c r="K173" s="216">
        <f>+I173/C173-1</f>
        <v>-5.208333333333337E-2</v>
      </c>
    </row>
    <row r="174" spans="1:12" x14ac:dyDescent="0.25">
      <c r="A174" s="190" t="s">
        <v>375</v>
      </c>
      <c r="C174" s="72">
        <v>400</v>
      </c>
      <c r="E174" s="407">
        <v>2692</v>
      </c>
      <c r="F174" s="4"/>
      <c r="G174" s="412">
        <v>100</v>
      </c>
      <c r="H174" s="4"/>
      <c r="I174" s="31">
        <f t="shared" si="13"/>
        <v>2792</v>
      </c>
      <c r="K174" s="216">
        <f>+I174/C174-1</f>
        <v>5.98</v>
      </c>
    </row>
    <row r="175" spans="1:12" x14ac:dyDescent="0.25">
      <c r="A175" s="44" t="s">
        <v>376</v>
      </c>
      <c r="C175" s="72"/>
      <c r="E175" s="407">
        <v>0</v>
      </c>
      <c r="F175" s="4"/>
      <c r="G175" s="412"/>
      <c r="H175" s="4"/>
      <c r="I175" s="31"/>
    </row>
    <row r="176" spans="1:12" x14ac:dyDescent="0.25">
      <c r="A176" s="190" t="s">
        <v>377</v>
      </c>
      <c r="C176" s="72">
        <v>13400</v>
      </c>
      <c r="E176" s="407">
        <v>9153</v>
      </c>
      <c r="F176" s="4"/>
      <c r="G176" s="424">
        <v>2000</v>
      </c>
      <c r="H176" s="4"/>
      <c r="I176" s="31">
        <f t="shared" si="13"/>
        <v>11153</v>
      </c>
      <c r="K176" s="216">
        <f>+I176/C176-1</f>
        <v>-0.16768656716417907</v>
      </c>
    </row>
    <row r="177" spans="1:15" x14ac:dyDescent="0.25">
      <c r="A177" s="190" t="s">
        <v>269</v>
      </c>
      <c r="C177" s="72">
        <v>2203</v>
      </c>
      <c r="E177" s="407">
        <v>2203</v>
      </c>
      <c r="F177" s="4"/>
      <c r="G177" s="415">
        <v>0</v>
      </c>
      <c r="H177" s="4"/>
      <c r="I177" s="31">
        <f t="shared" si="13"/>
        <v>2203</v>
      </c>
      <c r="K177" s="216">
        <f>+I177/C177-1</f>
        <v>0</v>
      </c>
      <c r="L177" s="49"/>
    </row>
    <row r="178" spans="1:15" x14ac:dyDescent="0.25">
      <c r="A178" s="190" t="s">
        <v>378</v>
      </c>
      <c r="C178" s="72">
        <v>1100</v>
      </c>
      <c r="E178" s="407">
        <v>500</v>
      </c>
      <c r="F178" s="4"/>
      <c r="G178" s="587">
        <v>40</v>
      </c>
      <c r="H178" s="4"/>
      <c r="I178" s="31">
        <f t="shared" si="13"/>
        <v>540</v>
      </c>
      <c r="K178" s="216">
        <f>+I178/C178-1</f>
        <v>-0.50909090909090904</v>
      </c>
      <c r="L178" s="49">
        <f>C75+C76</f>
        <v>47000</v>
      </c>
      <c r="M178" s="49">
        <f>I75+I76</f>
        <v>20393</v>
      </c>
    </row>
    <row r="179" spans="1:15" ht="18" x14ac:dyDescent="0.4">
      <c r="A179" s="190" t="s">
        <v>410</v>
      </c>
      <c r="C179" s="116">
        <v>28000</v>
      </c>
      <c r="E179" s="408">
        <v>17522</v>
      </c>
      <c r="F179" s="4"/>
      <c r="G179" s="425">
        <v>100</v>
      </c>
      <c r="H179" s="4"/>
      <c r="I179" s="80">
        <f>E179+G179</f>
        <v>17622</v>
      </c>
      <c r="K179" s="297">
        <f>+I179/C179-1</f>
        <v>-0.37064285714285716</v>
      </c>
      <c r="L179" s="49">
        <f>C176+C177+C178+C179</f>
        <v>44703</v>
      </c>
      <c r="M179" s="49">
        <f>I176+I177+I178+I179</f>
        <v>31518</v>
      </c>
    </row>
    <row r="180" spans="1:15" ht="18" x14ac:dyDescent="0.4">
      <c r="A180" s="69" t="s">
        <v>275</v>
      </c>
      <c r="C180" s="116">
        <f>SUM(C155:C179)</f>
        <v>162463</v>
      </c>
      <c r="E180" s="45">
        <f>SUM(E155:E179)</f>
        <v>123514</v>
      </c>
      <c r="F180" s="4"/>
      <c r="G180" s="45">
        <f>SUM(G155:G179)</f>
        <v>23122</v>
      </c>
      <c r="H180" s="4"/>
      <c r="I180" s="45">
        <f>SUM(I155:I179)</f>
        <v>146636</v>
      </c>
      <c r="J180" s="49"/>
      <c r="K180" s="297">
        <f>+I180/C180-1</f>
        <v>-9.7419104657675892E-2</v>
      </c>
      <c r="L180" s="49">
        <f>L178-L179</f>
        <v>2297</v>
      </c>
      <c r="M180" s="49">
        <f>M178-M179</f>
        <v>-11125</v>
      </c>
      <c r="N180" s="1" t="s">
        <v>473</v>
      </c>
    </row>
    <row r="181" spans="1:15" x14ac:dyDescent="0.25">
      <c r="G181" s="1"/>
      <c r="I181" s="1"/>
      <c r="L181" s="49"/>
      <c r="M181" s="49"/>
    </row>
    <row r="182" spans="1:15" x14ac:dyDescent="0.25">
      <c r="A182" s="2" t="s">
        <v>145</v>
      </c>
      <c r="E182" s="72"/>
      <c r="G182" s="31"/>
      <c r="I182" s="31"/>
      <c r="M182" s="49"/>
    </row>
    <row r="183" spans="1:15" x14ac:dyDescent="0.25">
      <c r="A183" s="416" t="s">
        <v>570</v>
      </c>
      <c r="C183" s="72">
        <v>0</v>
      </c>
      <c r="E183" s="83">
        <v>35100</v>
      </c>
      <c r="G183" s="174">
        <v>0</v>
      </c>
      <c r="I183" s="573">
        <f t="shared" ref="I183:I184" si="14">E183+G183</f>
        <v>35100</v>
      </c>
      <c r="K183" s="216">
        <v>1</v>
      </c>
      <c r="L183" s="49"/>
    </row>
    <row r="184" spans="1:15" s="411" customFormat="1" x14ac:dyDescent="0.25">
      <c r="A184" s="416" t="s">
        <v>571</v>
      </c>
      <c r="C184" s="589">
        <v>0</v>
      </c>
      <c r="E184" s="414">
        <v>11655</v>
      </c>
      <c r="G184" s="415">
        <v>0</v>
      </c>
      <c r="I184" s="573">
        <f t="shared" si="14"/>
        <v>11655</v>
      </c>
      <c r="K184" s="417">
        <v>1</v>
      </c>
      <c r="L184" s="413"/>
    </row>
    <row r="185" spans="1:15" ht="18" x14ac:dyDescent="0.4">
      <c r="A185" s="416" t="s">
        <v>593</v>
      </c>
      <c r="C185" s="362">
        <v>0</v>
      </c>
      <c r="E185" s="163">
        <v>63500</v>
      </c>
      <c r="G185" s="195">
        <v>0</v>
      </c>
      <c r="I185" s="80">
        <f>E185+G185</f>
        <v>63500</v>
      </c>
      <c r="K185" s="297">
        <v>1</v>
      </c>
      <c r="L185" s="49"/>
    </row>
    <row r="186" spans="1:15" s="546" customFormat="1" ht="18" x14ac:dyDescent="0.4">
      <c r="A186" s="69" t="s">
        <v>276</v>
      </c>
      <c r="C186" s="362">
        <f>SUM(C183:C185)</f>
        <v>0</v>
      </c>
      <c r="E186" s="362">
        <f>SUM(E183:E185)</f>
        <v>110255</v>
      </c>
      <c r="G186" s="362">
        <f>SUM(G183:G185)</f>
        <v>0</v>
      </c>
      <c r="I186" s="362">
        <f>SUM(I183:I185)</f>
        <v>110255</v>
      </c>
      <c r="K186" s="297"/>
      <c r="L186" s="413"/>
    </row>
    <row r="187" spans="1:15" ht="18" x14ac:dyDescent="0.4">
      <c r="A187" s="416"/>
      <c r="C187" s="72"/>
      <c r="E187" s="75"/>
      <c r="F187" s="4"/>
      <c r="G187" s="45"/>
      <c r="H187" s="4"/>
      <c r="I187" s="45"/>
    </row>
    <row r="188" spans="1:15" ht="18" x14ac:dyDescent="0.4">
      <c r="A188" s="2" t="s">
        <v>248</v>
      </c>
      <c r="C188" s="72"/>
      <c r="E188" s="75"/>
      <c r="F188" s="4"/>
      <c r="G188" s="45"/>
      <c r="H188" s="4"/>
      <c r="I188" s="45"/>
      <c r="O188" s="1">
        <v>9</v>
      </c>
    </row>
    <row r="189" spans="1:15" x14ac:dyDescent="0.25">
      <c r="A189" s="44" t="s">
        <v>249</v>
      </c>
      <c r="C189" s="72">
        <v>0</v>
      </c>
      <c r="E189" s="73">
        <v>0</v>
      </c>
      <c r="F189" s="4"/>
      <c r="G189" s="174">
        <v>0</v>
      </c>
      <c r="H189" s="4"/>
      <c r="I189" s="31">
        <f>E189+G189</f>
        <v>0</v>
      </c>
      <c r="K189" s="216">
        <v>0</v>
      </c>
      <c r="L189" s="49"/>
    </row>
    <row r="190" spans="1:15" ht="18" x14ac:dyDescent="0.4">
      <c r="A190" s="44" t="s">
        <v>250</v>
      </c>
      <c r="C190" s="116">
        <v>0</v>
      </c>
      <c r="E190" s="75">
        <v>0</v>
      </c>
      <c r="F190" s="4"/>
      <c r="G190" s="195">
        <v>0</v>
      </c>
      <c r="H190" s="4"/>
      <c r="I190" s="80">
        <f>E190+G190</f>
        <v>0</v>
      </c>
      <c r="K190" s="297">
        <v>0</v>
      </c>
      <c r="L190" s="49"/>
    </row>
    <row r="191" spans="1:15" ht="18" x14ac:dyDescent="0.4">
      <c r="A191" s="69" t="s">
        <v>251</v>
      </c>
      <c r="C191" s="116">
        <f>SUM(C189:C190)</f>
        <v>0</v>
      </c>
      <c r="E191" s="75">
        <f>SUM(E189:E190)</f>
        <v>0</v>
      </c>
      <c r="F191" s="45">
        <f>SUM(F189:F190)</f>
        <v>0</v>
      </c>
      <c r="G191" s="195">
        <f>SUM(G189:G190)</f>
        <v>0</v>
      </c>
      <c r="H191" s="45">
        <f>SUM(H189:H190)</f>
        <v>0</v>
      </c>
      <c r="I191" s="45">
        <f>SUM(I189:I190)</f>
        <v>0</v>
      </c>
      <c r="K191" s="297">
        <v>0</v>
      </c>
    </row>
    <row r="192" spans="1:15" x14ac:dyDescent="0.25">
      <c r="E192" s="72"/>
      <c r="G192" s="1"/>
      <c r="I192" s="1"/>
    </row>
    <row r="193" spans="1:14" ht="18" x14ac:dyDescent="0.4">
      <c r="A193" s="69" t="s">
        <v>277</v>
      </c>
      <c r="C193" s="141">
        <f>C115+C143+C180+C185+C191</f>
        <v>1091267</v>
      </c>
      <c r="E193" s="141">
        <f>E115+E143+E180+E185+E191</f>
        <v>969788</v>
      </c>
      <c r="F193" s="3"/>
      <c r="G193" s="141">
        <f>G115+G143+G180+G185+G191</f>
        <v>207683</v>
      </c>
      <c r="H193" s="3"/>
      <c r="I193" s="141">
        <f>I115+I143+I180+I185+I191</f>
        <v>1177471</v>
      </c>
      <c r="J193" s="49"/>
      <c r="K193" s="316">
        <f>+I193/C193-1</f>
        <v>7.8994416581826377E-2</v>
      </c>
      <c r="L193" s="178">
        <f>I193-1036271</f>
        <v>141200</v>
      </c>
      <c r="M193" s="49">
        <f>50000+G108+I134+I185+I191</f>
        <v>132762</v>
      </c>
      <c r="N193" s="178"/>
    </row>
    <row r="194" spans="1:14" x14ac:dyDescent="0.25">
      <c r="E194" s="72"/>
      <c r="G194" s="31"/>
      <c r="I194" s="31"/>
    </row>
    <row r="195" spans="1:14" x14ac:dyDescent="0.25">
      <c r="E195" s="72"/>
      <c r="G195" s="31"/>
      <c r="I195" s="31"/>
    </row>
  </sheetData>
  <mergeCells count="19">
    <mergeCell ref="A148:K148"/>
    <mergeCell ref="E151:I151"/>
    <mergeCell ref="E92:I92"/>
    <mergeCell ref="E43:I43"/>
    <mergeCell ref="A87:K87"/>
    <mergeCell ref="A88:K88"/>
    <mergeCell ref="A89:K89"/>
    <mergeCell ref="A145:K145"/>
    <mergeCell ref="A146:K146"/>
    <mergeCell ref="A39:K39"/>
    <mergeCell ref="A40:K40"/>
    <mergeCell ref="A41:K41"/>
    <mergeCell ref="A86:K86"/>
    <mergeCell ref="A147:K147"/>
    <mergeCell ref="A3:K3"/>
    <mergeCell ref="A2:K2"/>
    <mergeCell ref="A5:K5"/>
    <mergeCell ref="A4:K4"/>
    <mergeCell ref="A38:K38"/>
  </mergeCells>
  <phoneticPr fontId="0" type="noConversion"/>
  <pageMargins left="0.5" right="0.1" top="0.5" bottom="0.25" header="0.25" footer="0"/>
  <pageSetup scale="83" orientation="portrait" r:id="rId1"/>
  <headerFooter alignWithMargins="0">
    <oddFooter>&amp;L&amp;"Times New Roman,Regular"&amp;9&amp;D &amp;C&amp;"Times New Roman,Regular"&amp;9&amp;Z&amp;F&amp;R&amp;"Times New Roman,Regular"&amp;9&amp;A</oddFooter>
  </headerFooter>
  <rowBreaks count="3" manualBreakCount="3">
    <brk id="36" max="10" man="1"/>
    <brk id="84" max="10" man="1"/>
    <brk id="143"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7030A0"/>
  </sheetPr>
  <dimension ref="A1:AC55"/>
  <sheetViews>
    <sheetView showGridLines="0" view="pageBreakPreview" zoomScaleNormal="100" zoomScaleSheetLayoutView="100" workbookViewId="0">
      <selection activeCell="E23" sqref="E23"/>
    </sheetView>
  </sheetViews>
  <sheetFormatPr defaultColWidth="9.77734375" defaultRowHeight="15" x14ac:dyDescent="0.25"/>
  <cols>
    <col min="1" max="1" width="22.33203125" style="221" customWidth="1"/>
    <col min="2" max="2" width="3.33203125" style="221" customWidth="1"/>
    <col min="3" max="3" width="10" style="220" customWidth="1"/>
    <col min="4" max="4" width="0.88671875" style="220" customWidth="1"/>
    <col min="5" max="5" width="11" style="220" bestFit="1" customWidth="1"/>
    <col min="6" max="6" width="0.88671875" style="220" customWidth="1"/>
    <col min="7" max="7" width="10.33203125" style="220" customWidth="1"/>
    <col min="8" max="8" width="0.88671875" style="220" customWidth="1"/>
    <col min="9" max="9" width="8.88671875" style="220" customWidth="1"/>
    <col min="10" max="10" width="0.88671875" style="220" customWidth="1"/>
    <col min="11" max="11" width="9.33203125" style="220" customWidth="1"/>
    <col min="12" max="12" width="0.88671875" style="220" customWidth="1"/>
    <col min="13" max="13" width="10.6640625" style="220" bestFit="1" customWidth="1"/>
    <col min="14" max="14" width="1.77734375" style="220" customWidth="1"/>
    <col min="15" max="15" width="9.77734375" style="220" customWidth="1"/>
    <col min="16" max="16" width="0.88671875" style="220" customWidth="1"/>
    <col min="17" max="17" width="10.21875" style="220" customWidth="1"/>
    <col min="18" max="18" width="0.88671875" style="220" customWidth="1"/>
    <col min="19" max="19" width="9.33203125" style="220" bestFit="1" customWidth="1"/>
    <col min="20" max="20" width="0.88671875" style="220" customWidth="1"/>
    <col min="21" max="21" width="9.88671875" style="220" customWidth="1"/>
    <col min="22" max="22" width="0.88671875" style="220" customWidth="1"/>
    <col min="23" max="23" width="8.6640625" style="220" customWidth="1"/>
    <col min="24" max="25" width="12" style="220" bestFit="1" customWidth="1"/>
    <col min="26" max="26" width="10.44140625" style="220" bestFit="1" customWidth="1"/>
    <col min="27" max="29" width="9.77734375" style="220"/>
    <col min="30" max="16384" width="9.77734375" style="81"/>
  </cols>
  <sheetData>
    <row r="1" spans="1:29" x14ac:dyDescent="0.25">
      <c r="A1" s="634" t="s">
        <v>47</v>
      </c>
      <c r="B1" s="634"/>
      <c r="C1" s="634"/>
      <c r="D1" s="634"/>
      <c r="E1" s="634"/>
      <c r="F1" s="634"/>
      <c r="G1" s="634"/>
      <c r="H1" s="634"/>
      <c r="I1" s="634"/>
      <c r="J1" s="634"/>
      <c r="K1" s="634"/>
      <c r="L1" s="634"/>
      <c r="M1" s="634"/>
      <c r="N1" s="634"/>
      <c r="O1" s="634"/>
      <c r="P1" s="634"/>
      <c r="Q1" s="634"/>
      <c r="R1" s="634"/>
      <c r="S1" s="634"/>
      <c r="T1" s="634"/>
      <c r="U1" s="219" t="s">
        <v>339</v>
      </c>
    </row>
    <row r="2" spans="1:29" x14ac:dyDescent="0.25">
      <c r="A2" s="634" t="s">
        <v>231</v>
      </c>
      <c r="B2" s="634"/>
      <c r="C2" s="634"/>
      <c r="D2" s="634"/>
      <c r="E2" s="634"/>
      <c r="F2" s="634"/>
      <c r="G2" s="634"/>
      <c r="H2" s="634"/>
      <c r="I2" s="634"/>
      <c r="J2" s="634"/>
      <c r="K2" s="634"/>
      <c r="L2" s="634"/>
      <c r="M2" s="634"/>
      <c r="N2" s="634"/>
      <c r="O2" s="634"/>
      <c r="P2" s="634"/>
      <c r="Q2" s="634"/>
      <c r="R2" s="634"/>
      <c r="S2" s="634"/>
      <c r="T2" s="634"/>
      <c r="U2" s="219"/>
    </row>
    <row r="3" spans="1:29" x14ac:dyDescent="0.25">
      <c r="A3" s="634" t="s">
        <v>322</v>
      </c>
      <c r="B3" s="634"/>
      <c r="C3" s="634"/>
      <c r="D3" s="634"/>
      <c r="E3" s="634"/>
      <c r="F3" s="634"/>
      <c r="G3" s="634"/>
      <c r="H3" s="634"/>
      <c r="I3" s="634"/>
      <c r="J3" s="634"/>
      <c r="K3" s="634"/>
      <c r="L3" s="634"/>
      <c r="M3" s="634"/>
      <c r="N3" s="634"/>
      <c r="O3" s="634"/>
      <c r="P3" s="634"/>
      <c r="Q3" s="634"/>
      <c r="R3" s="634"/>
      <c r="S3" s="634"/>
      <c r="T3" s="634"/>
      <c r="U3" s="219"/>
    </row>
    <row r="4" spans="1:29" x14ac:dyDescent="0.25">
      <c r="A4" s="634" t="str">
        <f>'Estimating Schedule - GF'!A5:H5</f>
        <v>Year Ending September 30, 2018</v>
      </c>
      <c r="B4" s="634"/>
      <c r="C4" s="634"/>
      <c r="D4" s="634"/>
      <c r="E4" s="634"/>
      <c r="F4" s="634"/>
      <c r="G4" s="634"/>
      <c r="H4" s="634"/>
      <c r="I4" s="634"/>
      <c r="J4" s="634"/>
      <c r="K4" s="634"/>
      <c r="L4" s="634"/>
      <c r="M4" s="634"/>
      <c r="N4" s="634"/>
      <c r="O4" s="634"/>
      <c r="P4" s="634"/>
      <c r="Q4" s="634"/>
      <c r="R4" s="634"/>
      <c r="S4" s="634"/>
      <c r="T4" s="634"/>
      <c r="U4" s="219"/>
    </row>
    <row r="7" spans="1:29" x14ac:dyDescent="0.25">
      <c r="C7" s="222" t="s">
        <v>278</v>
      </c>
      <c r="D7" s="223"/>
      <c r="E7" s="222"/>
      <c r="F7" s="223"/>
      <c r="G7" s="222"/>
      <c r="I7" s="222" t="s">
        <v>279</v>
      </c>
      <c r="J7" s="223"/>
      <c r="K7" s="222"/>
      <c r="L7" s="223"/>
      <c r="M7" s="222"/>
      <c r="Q7" s="222"/>
      <c r="R7" s="223"/>
      <c r="S7" s="224" t="s">
        <v>53</v>
      </c>
      <c r="T7" s="223"/>
      <c r="U7" s="222"/>
    </row>
    <row r="8" spans="1:29" x14ac:dyDescent="0.25">
      <c r="A8" s="221" t="s">
        <v>148</v>
      </c>
      <c r="C8" s="225" t="s">
        <v>349</v>
      </c>
      <c r="D8" s="226"/>
      <c r="E8" s="225" t="s">
        <v>345</v>
      </c>
      <c r="F8" s="227"/>
      <c r="G8" s="228">
        <v>2018</v>
      </c>
      <c r="H8" s="227"/>
      <c r="I8" s="225" t="s">
        <v>349</v>
      </c>
      <c r="J8" s="226"/>
      <c r="K8" s="225" t="s">
        <v>345</v>
      </c>
      <c r="L8" s="227"/>
      <c r="M8" s="228">
        <f>G8</f>
        <v>2018</v>
      </c>
      <c r="N8" s="227"/>
      <c r="O8" s="225" t="s">
        <v>386</v>
      </c>
      <c r="P8" s="227"/>
      <c r="Q8" s="225" t="s">
        <v>349</v>
      </c>
      <c r="R8" s="226"/>
      <c r="S8" s="225" t="s">
        <v>345</v>
      </c>
      <c r="T8" s="227"/>
      <c r="U8" s="228">
        <f>G8</f>
        <v>2018</v>
      </c>
      <c r="W8" s="241" t="s">
        <v>384</v>
      </c>
    </row>
    <row r="9" spans="1:29" x14ac:dyDescent="0.25">
      <c r="C9" s="224" t="s">
        <v>83</v>
      </c>
      <c r="E9" s="224" t="s">
        <v>84</v>
      </c>
      <c r="G9" s="224" t="s">
        <v>84</v>
      </c>
      <c r="I9" s="224" t="s">
        <v>83</v>
      </c>
      <c r="K9" s="224" t="s">
        <v>84</v>
      </c>
      <c r="M9" s="224" t="s">
        <v>84</v>
      </c>
      <c r="O9" s="242" t="s">
        <v>85</v>
      </c>
      <c r="Q9" s="224" t="s">
        <v>83</v>
      </c>
      <c r="S9" s="224" t="s">
        <v>84</v>
      </c>
      <c r="U9" s="224" t="s">
        <v>84</v>
      </c>
      <c r="W9" s="242" t="s">
        <v>385</v>
      </c>
    </row>
    <row r="10" spans="1:29" x14ac:dyDescent="0.25">
      <c r="A10" s="229" t="s">
        <v>0</v>
      </c>
      <c r="C10" s="230"/>
      <c r="E10" s="230"/>
      <c r="G10" s="230"/>
      <c r="I10" s="230"/>
      <c r="K10" s="230"/>
      <c r="M10" s="230"/>
      <c r="Q10" s="230"/>
      <c r="S10" s="230"/>
      <c r="U10" s="230"/>
    </row>
    <row r="11" spans="1:29" x14ac:dyDescent="0.25">
      <c r="A11" s="221" t="s">
        <v>149</v>
      </c>
      <c r="B11" s="231"/>
      <c r="C11" s="430">
        <v>233834</v>
      </c>
      <c r="D11" s="230"/>
      <c r="E11" s="428">
        <v>51000</v>
      </c>
      <c r="F11" s="230"/>
      <c r="G11" s="232">
        <f>+C11+E11</f>
        <v>284834</v>
      </c>
      <c r="H11" s="230"/>
      <c r="I11" s="432">
        <v>290823</v>
      </c>
      <c r="J11" s="230"/>
      <c r="K11" s="434">
        <v>58000</v>
      </c>
      <c r="L11" s="230"/>
      <c r="M11" s="232">
        <f>I11+K11</f>
        <v>348823</v>
      </c>
      <c r="O11" s="232">
        <v>635000</v>
      </c>
      <c r="Q11" s="232">
        <f>I11+C11</f>
        <v>524657</v>
      </c>
      <c r="R11" s="230"/>
      <c r="S11" s="232">
        <f>K11+E11</f>
        <v>109000</v>
      </c>
      <c r="T11" s="230"/>
      <c r="U11" s="232">
        <f>Q11+S11</f>
        <v>633657</v>
      </c>
      <c r="W11" s="243">
        <f>+U11/O11-1</f>
        <v>-2.1149606299212254E-3</v>
      </c>
      <c r="X11" s="256"/>
      <c r="Y11" s="256"/>
      <c r="Z11" s="256"/>
    </row>
    <row r="12" spans="1:29" x14ac:dyDescent="0.25">
      <c r="A12" s="599" t="s">
        <v>562</v>
      </c>
      <c r="B12" s="231"/>
      <c r="C12" s="444">
        <v>0</v>
      </c>
      <c r="D12" s="444"/>
      <c r="E12" s="444">
        <v>0</v>
      </c>
      <c r="F12" s="444"/>
      <c r="G12" s="444"/>
      <c r="H12" s="444"/>
      <c r="I12" s="444">
        <v>40250</v>
      </c>
      <c r="J12" s="444"/>
      <c r="K12" s="444">
        <v>0</v>
      </c>
      <c r="L12" s="444"/>
      <c r="M12" s="444">
        <f>I12+K12</f>
        <v>40250</v>
      </c>
      <c r="N12" s="444"/>
      <c r="O12" s="444">
        <v>0</v>
      </c>
      <c r="P12" s="444"/>
      <c r="Q12" s="444">
        <f>I12+C12</f>
        <v>40250</v>
      </c>
      <c r="R12" s="444"/>
      <c r="S12" s="444">
        <f>K12+E12</f>
        <v>0</v>
      </c>
      <c r="T12" s="444"/>
      <c r="U12" s="444">
        <f>Q12+S12</f>
        <v>40250</v>
      </c>
      <c r="V12" s="444"/>
      <c r="W12" s="444"/>
      <c r="X12" s="256"/>
      <c r="Y12" s="256"/>
      <c r="Z12" s="256"/>
      <c r="AA12" s="418"/>
      <c r="AB12" s="418"/>
      <c r="AC12" s="418"/>
    </row>
    <row r="13" spans="1:29" ht="17.25" x14ac:dyDescent="0.4">
      <c r="A13" s="221" t="s">
        <v>292</v>
      </c>
      <c r="C13" s="431">
        <v>0</v>
      </c>
      <c r="D13" s="233"/>
      <c r="E13" s="429">
        <v>0</v>
      </c>
      <c r="F13" s="233"/>
      <c r="G13" s="299">
        <v>0</v>
      </c>
      <c r="H13" s="230"/>
      <c r="I13" s="433">
        <v>14</v>
      </c>
      <c r="J13" s="234"/>
      <c r="K13" s="435">
        <v>0</v>
      </c>
      <c r="L13" s="234"/>
      <c r="M13" s="299">
        <f>I13+K13</f>
        <v>14</v>
      </c>
      <c r="O13" s="452">
        <v>20</v>
      </c>
      <c r="Q13" s="299">
        <f>I13+C13</f>
        <v>14</v>
      </c>
      <c r="R13" s="299"/>
      <c r="S13" s="299">
        <f>K13+E13</f>
        <v>0</v>
      </c>
      <c r="T13" s="299"/>
      <c r="U13" s="299">
        <f>Q13+S13</f>
        <v>14</v>
      </c>
      <c r="W13" s="307">
        <v>1</v>
      </c>
      <c r="X13" s="256"/>
    </row>
    <row r="14" spans="1:29" ht="17.25" x14ac:dyDescent="0.4">
      <c r="A14" s="221" t="s">
        <v>100</v>
      </c>
      <c r="C14" s="235">
        <f>SUM(C11:C13)</f>
        <v>233834</v>
      </c>
      <c r="D14" s="230"/>
      <c r="E14" s="421">
        <f>SUM(E11:E13)</f>
        <v>51000</v>
      </c>
      <c r="F14" s="230"/>
      <c r="G14" s="235">
        <f>SUM(G11:G13)</f>
        <v>284834</v>
      </c>
      <c r="H14" s="230"/>
      <c r="I14" s="235">
        <f>SUM(I11:I13)</f>
        <v>331087</v>
      </c>
      <c r="J14" s="230"/>
      <c r="K14" s="235">
        <f>SUM(K11:K13)</f>
        <v>58000</v>
      </c>
      <c r="L14" s="230"/>
      <c r="M14" s="235">
        <f>SUM(M11:M13)</f>
        <v>389087</v>
      </c>
      <c r="O14" s="235">
        <f>SUM(O11:O13)</f>
        <v>635020</v>
      </c>
      <c r="Q14" s="235">
        <f>SUM(Q11:Q13)</f>
        <v>564921</v>
      </c>
      <c r="R14" s="230"/>
      <c r="S14" s="235">
        <f>SUM(S11:S13)</f>
        <v>109000</v>
      </c>
      <c r="T14" s="230"/>
      <c r="U14" s="235">
        <f>SUM(U11:U13)</f>
        <v>673921</v>
      </c>
      <c r="W14" s="307">
        <f>+U14/O14-1</f>
        <v>6.1259487890145126E-2</v>
      </c>
      <c r="X14" s="311"/>
      <c r="Y14" s="311"/>
      <c r="Z14" s="311"/>
    </row>
    <row r="15" spans="1:29" ht="9.9499999999999993" customHeight="1" x14ac:dyDescent="0.25">
      <c r="E15" s="418"/>
    </row>
    <row r="16" spans="1:29" x14ac:dyDescent="0.25">
      <c r="A16" s="229" t="s">
        <v>7</v>
      </c>
      <c r="C16" s="230"/>
      <c r="D16" s="230"/>
      <c r="E16" s="419"/>
      <c r="F16" s="230"/>
      <c r="G16" s="230"/>
      <c r="H16" s="230"/>
      <c r="I16" s="230"/>
      <c r="J16" s="230"/>
      <c r="K16" s="230"/>
      <c r="L16" s="230"/>
      <c r="M16" s="230"/>
      <c r="Q16" s="230"/>
      <c r="R16" s="230"/>
      <c r="S16" s="230"/>
      <c r="T16" s="230"/>
      <c r="U16" s="230"/>
      <c r="X16" s="311"/>
      <c r="Y16" s="311"/>
      <c r="Z16" s="311"/>
    </row>
    <row r="17" spans="1:29" x14ac:dyDescent="0.25">
      <c r="A17" s="221" t="s">
        <v>128</v>
      </c>
      <c r="C17" s="230"/>
      <c r="E17" s="419"/>
      <c r="G17" s="230" t="s">
        <v>19</v>
      </c>
      <c r="I17" s="230"/>
      <c r="K17" s="230" t="s">
        <v>19</v>
      </c>
      <c r="M17" s="230" t="s">
        <v>19</v>
      </c>
      <c r="Q17" s="230"/>
      <c r="S17" s="230"/>
      <c r="U17" s="230"/>
      <c r="X17" s="311"/>
      <c r="Y17" s="311"/>
      <c r="Z17" s="311"/>
    </row>
    <row r="18" spans="1:29" x14ac:dyDescent="0.25">
      <c r="A18" s="221" t="s">
        <v>133</v>
      </c>
      <c r="B18" s="231"/>
      <c r="C18" s="436">
        <v>11755</v>
      </c>
      <c r="E18" s="439">
        <v>0</v>
      </c>
      <c r="G18" s="236">
        <v>11755</v>
      </c>
      <c r="H18" s="230"/>
      <c r="I18" s="440">
        <v>11845</v>
      </c>
      <c r="K18" s="443">
        <v>0</v>
      </c>
      <c r="M18" s="236">
        <f>I18+K18</f>
        <v>11845</v>
      </c>
      <c r="O18" s="220">
        <v>20170</v>
      </c>
      <c r="Q18" s="230">
        <f>I18+C18</f>
        <v>23600</v>
      </c>
      <c r="S18" s="230">
        <f>K18+E18</f>
        <v>0</v>
      </c>
      <c r="U18" s="230">
        <f>M18+G18</f>
        <v>23600</v>
      </c>
      <c r="W18" s="243">
        <f>+U18/O18-1</f>
        <v>0.17005453644025792</v>
      </c>
    </row>
    <row r="19" spans="1:29" ht="17.25" x14ac:dyDescent="0.4">
      <c r="A19" s="221" t="s">
        <v>150</v>
      </c>
      <c r="C19" s="437">
        <v>4712</v>
      </c>
      <c r="E19" s="438">
        <v>970</v>
      </c>
      <c r="G19" s="235">
        <v>5682</v>
      </c>
      <c r="I19" s="441">
        <v>0</v>
      </c>
      <c r="J19" s="235"/>
      <c r="K19" s="442">
        <v>0</v>
      </c>
      <c r="L19" s="235"/>
      <c r="M19" s="235">
        <f>I19+K19</f>
        <v>0</v>
      </c>
      <c r="O19" s="244">
        <v>6700</v>
      </c>
      <c r="Q19" s="235">
        <f>I19+C19</f>
        <v>4712</v>
      </c>
      <c r="S19" s="235">
        <f>K19+E19</f>
        <v>970</v>
      </c>
      <c r="U19" s="235">
        <f>M19+G19</f>
        <v>5682</v>
      </c>
      <c r="W19" s="307">
        <f>+U19/O19-1</f>
        <v>-0.15194029850746271</v>
      </c>
      <c r="X19" s="256">
        <f>X22/X20</f>
        <v>1.0265754578705707E-2</v>
      </c>
      <c r="Y19" s="256">
        <f>1078/Y20</f>
        <v>9.8899082568807348E-3</v>
      </c>
    </row>
    <row r="20" spans="1:29" ht="17.25" x14ac:dyDescent="0.4">
      <c r="A20" s="221" t="s">
        <v>139</v>
      </c>
      <c r="B20" s="231"/>
      <c r="C20" s="235">
        <f>SUM(C18:C19)</f>
        <v>16467</v>
      </c>
      <c r="E20" s="421">
        <f>SUM(E18:E19)</f>
        <v>970</v>
      </c>
      <c r="G20" s="235">
        <f>SUM(G17:G19)</f>
        <v>17437</v>
      </c>
      <c r="H20" s="230"/>
      <c r="I20" s="235">
        <f>SUM(I18:I19)</f>
        <v>11845</v>
      </c>
      <c r="K20" s="235">
        <f>SUM(K18:K19)</f>
        <v>0</v>
      </c>
      <c r="M20" s="235">
        <f>SUM(M17:M19)</f>
        <v>11845</v>
      </c>
      <c r="O20" s="244">
        <f>SUM(O18:O19)</f>
        <v>26870</v>
      </c>
      <c r="Q20" s="235">
        <f>SUM(Q18:Q19)</f>
        <v>28312</v>
      </c>
      <c r="S20" s="235">
        <f>SUM(S18:S19)</f>
        <v>970</v>
      </c>
      <c r="U20" s="235">
        <f>SUM(U18:U19)</f>
        <v>29282</v>
      </c>
      <c r="W20" s="307">
        <f>+U20/O20-1</f>
        <v>8.9765537774469717E-2</v>
      </c>
      <c r="X20" s="236">
        <f>C11+I11</f>
        <v>524657</v>
      </c>
      <c r="Y20" s="236">
        <f>E11+K11</f>
        <v>109000</v>
      </c>
    </row>
    <row r="21" spans="1:29" ht="9.9499999999999993" customHeight="1" x14ac:dyDescent="0.25">
      <c r="C21" s="230"/>
      <c r="E21" s="419"/>
      <c r="G21" s="230"/>
      <c r="I21" s="230"/>
      <c r="K21" s="230"/>
      <c r="M21" s="230"/>
      <c r="Q21" s="230"/>
      <c r="S21" s="230"/>
      <c r="U21" s="230"/>
      <c r="X21" s="256"/>
    </row>
    <row r="22" spans="1:29" x14ac:dyDescent="0.25">
      <c r="A22" s="221" t="s">
        <v>143</v>
      </c>
      <c r="C22" s="230"/>
      <c r="E22" s="419"/>
      <c r="G22" s="230"/>
      <c r="I22" s="230"/>
      <c r="K22" s="230"/>
      <c r="M22" s="230"/>
      <c r="Q22" s="230"/>
      <c r="S22" s="230"/>
      <c r="U22" s="230"/>
      <c r="X22" s="220">
        <v>5386</v>
      </c>
      <c r="Y22" s="220">
        <f>C11*X19</f>
        <v>2400.4824561570704</v>
      </c>
      <c r="Z22" s="220">
        <f>I11*X19</f>
        <v>2985.5175438429296</v>
      </c>
    </row>
    <row r="23" spans="1:29" x14ac:dyDescent="0.25">
      <c r="A23" s="221" t="s">
        <v>141</v>
      </c>
      <c r="B23" s="231"/>
      <c r="C23" s="444">
        <v>104294</v>
      </c>
      <c r="E23" s="447">
        <v>28366</v>
      </c>
      <c r="G23" s="236">
        <v>132660</v>
      </c>
      <c r="H23" s="230"/>
      <c r="I23" s="448">
        <v>0</v>
      </c>
      <c r="J23" s="233"/>
      <c r="K23" s="450">
        <v>0</v>
      </c>
      <c r="L23" s="233"/>
      <c r="M23" s="233">
        <f t="shared" ref="M23:M30" si="0">I23+K23</f>
        <v>0</v>
      </c>
      <c r="O23" s="220">
        <v>139900</v>
      </c>
      <c r="Q23" s="230">
        <f t="shared" ref="Q23:Q31" si="1">I23+C23</f>
        <v>104294</v>
      </c>
      <c r="S23" s="230">
        <f t="shared" ref="S23:S30" si="2">K23+E23</f>
        <v>28366</v>
      </c>
      <c r="U23" s="236">
        <f t="shared" ref="U23:U30" si="3">Q23+S23</f>
        <v>132660</v>
      </c>
      <c r="W23" s="243">
        <f t="shared" ref="W23:W32" si="4">+U23/O23-1</f>
        <v>-5.1751250893495304E-2</v>
      </c>
      <c r="X23" s="220">
        <v>1078</v>
      </c>
      <c r="Y23" s="220">
        <f>E11*Y19</f>
        <v>504.38532110091745</v>
      </c>
      <c r="Z23" s="220">
        <f>K11*Y19</f>
        <v>573.61467889908261</v>
      </c>
    </row>
    <row r="24" spans="1:29" x14ac:dyDescent="0.25">
      <c r="A24" s="221" t="s">
        <v>564</v>
      </c>
      <c r="B24" s="231"/>
      <c r="C24" s="444"/>
      <c r="D24" s="418"/>
      <c r="E24" s="447"/>
      <c r="F24" s="418"/>
      <c r="G24" s="447"/>
      <c r="H24" s="444"/>
      <c r="I24" s="460"/>
      <c r="J24" s="460"/>
      <c r="K24" s="460"/>
      <c r="L24" s="460"/>
      <c r="M24" s="460"/>
      <c r="N24" s="418"/>
      <c r="O24" s="418">
        <v>9360</v>
      </c>
      <c r="P24" s="418"/>
      <c r="Q24" s="444"/>
      <c r="R24" s="418"/>
      <c r="S24" s="444"/>
      <c r="T24" s="418"/>
      <c r="U24" s="447"/>
      <c r="V24" s="418"/>
      <c r="W24" s="243"/>
      <c r="X24" s="418"/>
      <c r="Y24" s="418"/>
      <c r="Z24" s="418"/>
      <c r="AA24" s="418"/>
      <c r="AB24" s="418"/>
      <c r="AC24" s="418"/>
    </row>
    <row r="25" spans="1:29" x14ac:dyDescent="0.25">
      <c r="A25" s="221" t="s">
        <v>130</v>
      </c>
      <c r="C25" s="444">
        <v>7806</v>
      </c>
      <c r="E25" s="447">
        <v>2127</v>
      </c>
      <c r="G25" s="236">
        <v>9933</v>
      </c>
      <c r="I25" s="448">
        <v>0</v>
      </c>
      <c r="J25" s="233"/>
      <c r="K25" s="450">
        <v>0</v>
      </c>
      <c r="L25" s="233"/>
      <c r="M25" s="233">
        <f t="shared" si="0"/>
        <v>0</v>
      </c>
      <c r="O25" s="220">
        <v>10470</v>
      </c>
      <c r="Q25" s="230">
        <f t="shared" si="1"/>
        <v>7806</v>
      </c>
      <c r="S25" s="230">
        <f t="shared" si="2"/>
        <v>2127</v>
      </c>
      <c r="U25" s="236">
        <f t="shared" si="3"/>
        <v>9933</v>
      </c>
      <c r="W25" s="243">
        <f t="shared" si="4"/>
        <v>-5.1289398280802256E-2</v>
      </c>
      <c r="X25" s="278"/>
    </row>
    <row r="26" spans="1:29" x14ac:dyDescent="0.25">
      <c r="A26" s="221" t="s">
        <v>131</v>
      </c>
      <c r="C26" s="444">
        <v>32685</v>
      </c>
      <c r="E26" s="447">
        <v>6925</v>
      </c>
      <c r="G26" s="236">
        <v>39610</v>
      </c>
      <c r="I26" s="448">
        <v>0</v>
      </c>
      <c r="J26" s="233"/>
      <c r="K26" s="450">
        <v>0</v>
      </c>
      <c r="L26" s="233"/>
      <c r="M26" s="233">
        <f t="shared" si="0"/>
        <v>0</v>
      </c>
      <c r="O26" s="220">
        <v>35980</v>
      </c>
      <c r="Q26" s="230">
        <f t="shared" si="1"/>
        <v>32685</v>
      </c>
      <c r="S26" s="230">
        <f t="shared" si="2"/>
        <v>6925</v>
      </c>
      <c r="U26" s="236">
        <f t="shared" si="3"/>
        <v>39610</v>
      </c>
      <c r="W26" s="243">
        <f t="shared" si="4"/>
        <v>0.10088938299055039</v>
      </c>
      <c r="X26" s="256">
        <f>G19/U19</f>
        <v>1</v>
      </c>
      <c r="Y26" s="256">
        <f>M19/U19</f>
        <v>0</v>
      </c>
      <c r="Z26" s="256"/>
      <c r="AA26" s="256"/>
    </row>
    <row r="27" spans="1:29" x14ac:dyDescent="0.25">
      <c r="A27" s="221" t="s">
        <v>441</v>
      </c>
      <c r="C27" s="444">
        <v>5727</v>
      </c>
      <c r="E27" s="447">
        <v>1110</v>
      </c>
      <c r="G27" s="236">
        <v>6837</v>
      </c>
      <c r="I27" s="448">
        <v>0</v>
      </c>
      <c r="J27" s="233"/>
      <c r="K27" s="450">
        <v>0</v>
      </c>
      <c r="L27" s="233"/>
      <c r="M27" s="233">
        <v>0</v>
      </c>
      <c r="O27" s="220">
        <v>7650</v>
      </c>
      <c r="Q27" s="230">
        <f>I27+C27</f>
        <v>5727</v>
      </c>
      <c r="S27" s="230">
        <f>K27+E27</f>
        <v>1110</v>
      </c>
      <c r="U27" s="236">
        <f>Q27+S27</f>
        <v>6837</v>
      </c>
      <c r="W27" s="243">
        <f t="shared" si="4"/>
        <v>-0.10627450980392161</v>
      </c>
    </row>
    <row r="28" spans="1:29" x14ac:dyDescent="0.25">
      <c r="A28" s="221" t="s">
        <v>442</v>
      </c>
      <c r="C28" s="444">
        <v>42419</v>
      </c>
      <c r="E28" s="447">
        <v>2000</v>
      </c>
      <c r="G28" s="236">
        <v>44419</v>
      </c>
      <c r="I28" s="448">
        <v>0</v>
      </c>
      <c r="J28" s="233"/>
      <c r="K28" s="450">
        <v>0</v>
      </c>
      <c r="L28" s="233"/>
      <c r="M28" s="233">
        <v>0</v>
      </c>
      <c r="O28" s="220">
        <v>25000</v>
      </c>
      <c r="Q28" s="230">
        <f>I28+C28</f>
        <v>42419</v>
      </c>
      <c r="S28" s="230">
        <f>K28+E28</f>
        <v>2000</v>
      </c>
      <c r="U28" s="236">
        <f>Q28+S28</f>
        <v>44419</v>
      </c>
      <c r="W28" s="243">
        <f t="shared" si="4"/>
        <v>0.77675999999999989</v>
      </c>
    </row>
    <row r="29" spans="1:29" x14ac:dyDescent="0.25">
      <c r="A29" s="221" t="s">
        <v>443</v>
      </c>
      <c r="C29" s="444">
        <v>17587</v>
      </c>
      <c r="E29" s="447">
        <v>1800</v>
      </c>
      <c r="G29" s="236">
        <v>19387</v>
      </c>
      <c r="I29" s="447">
        <v>30250</v>
      </c>
      <c r="J29" s="233"/>
      <c r="K29" s="462">
        <v>0</v>
      </c>
      <c r="L29" s="460"/>
      <c r="M29" s="462">
        <f t="shared" si="0"/>
        <v>30250</v>
      </c>
      <c r="N29" s="220" t="s">
        <v>19</v>
      </c>
      <c r="O29" s="220">
        <v>20100</v>
      </c>
      <c r="Q29" s="230">
        <f t="shared" si="1"/>
        <v>47837</v>
      </c>
      <c r="S29" s="230">
        <f t="shared" si="2"/>
        <v>1800</v>
      </c>
      <c r="U29" s="236">
        <f>Q29+S29</f>
        <v>49637</v>
      </c>
      <c r="W29" s="243">
        <f t="shared" si="4"/>
        <v>1.4695024875621892</v>
      </c>
    </row>
    <row r="30" spans="1:29" x14ac:dyDescent="0.25">
      <c r="A30" s="221" t="s">
        <v>138</v>
      </c>
      <c r="C30" s="444">
        <v>5405</v>
      </c>
      <c r="E30" s="447">
        <v>2500</v>
      </c>
      <c r="G30" s="236">
        <v>7905</v>
      </c>
      <c r="I30" s="448">
        <v>0</v>
      </c>
      <c r="J30" s="233"/>
      <c r="K30" s="450">
        <v>0</v>
      </c>
      <c r="L30" s="233"/>
      <c r="M30" s="233">
        <f t="shared" si="0"/>
        <v>0</v>
      </c>
      <c r="O30" s="220">
        <v>7500</v>
      </c>
      <c r="Q30" s="230">
        <f t="shared" si="1"/>
        <v>5405</v>
      </c>
      <c r="S30" s="230">
        <f t="shared" si="2"/>
        <v>2500</v>
      </c>
      <c r="U30" s="236">
        <f t="shared" si="3"/>
        <v>7905</v>
      </c>
      <c r="W30" s="243">
        <f t="shared" si="4"/>
        <v>5.4000000000000048E-2</v>
      </c>
    </row>
    <row r="31" spans="1:29" ht="17.25" x14ac:dyDescent="0.4">
      <c r="A31" s="221" t="s">
        <v>151</v>
      </c>
      <c r="C31" s="445">
        <v>0</v>
      </c>
      <c r="D31" s="233"/>
      <c r="E31" s="446">
        <v>0</v>
      </c>
      <c r="F31" s="233"/>
      <c r="G31" s="234">
        <v>0</v>
      </c>
      <c r="I31" s="449">
        <v>29086</v>
      </c>
      <c r="K31" s="451">
        <v>4850</v>
      </c>
      <c r="M31" s="235">
        <f>I31+K31</f>
        <v>33936</v>
      </c>
      <c r="O31" s="244">
        <v>35000</v>
      </c>
      <c r="Q31" s="235">
        <f t="shared" si="1"/>
        <v>29086</v>
      </c>
      <c r="S31" s="235">
        <f>K31+E31</f>
        <v>4850</v>
      </c>
      <c r="U31" s="235">
        <f>Q31+S31</f>
        <v>33936</v>
      </c>
      <c r="W31" s="307">
        <f t="shared" si="4"/>
        <v>-3.0399999999999983E-2</v>
      </c>
    </row>
    <row r="32" spans="1:29" ht="17.25" x14ac:dyDescent="0.4">
      <c r="A32" s="221" t="s">
        <v>144</v>
      </c>
      <c r="B32" s="231"/>
      <c r="C32" s="235">
        <f>SUM(C23:C31)</f>
        <v>215923</v>
      </c>
      <c r="E32" s="421">
        <f>SUM(E23:E31)</f>
        <v>44828</v>
      </c>
      <c r="G32" s="235">
        <f>SUM(G23:G31)</f>
        <v>260751</v>
      </c>
      <c r="H32" s="230"/>
      <c r="I32" s="235">
        <f>SUM(I23:I31)</f>
        <v>59336</v>
      </c>
      <c r="K32" s="235">
        <f>SUM(K29:K31)</f>
        <v>4850</v>
      </c>
      <c r="M32" s="235">
        <f>SUM(M29:M31)</f>
        <v>64186</v>
      </c>
      <c r="O32" s="244">
        <f>SUM(O23:O31)</f>
        <v>290960</v>
      </c>
      <c r="Q32" s="235">
        <f>SUM(Q23:Q31)</f>
        <v>275259</v>
      </c>
      <c r="S32" s="235">
        <f>SUM(S23:S31)</f>
        <v>49678</v>
      </c>
      <c r="U32" s="235">
        <f>SUM(U23:U31)</f>
        <v>324937</v>
      </c>
      <c r="W32" s="307">
        <f t="shared" si="4"/>
        <v>0.11677550178718721</v>
      </c>
    </row>
    <row r="33" spans="1:29" ht="9.9499999999999993" customHeight="1" x14ac:dyDescent="0.25">
      <c r="C33" s="230"/>
      <c r="E33" s="419"/>
      <c r="G33" s="230"/>
      <c r="I33" s="230"/>
      <c r="K33" s="230"/>
      <c r="M33" s="230"/>
      <c r="Q33" s="230"/>
      <c r="S33" s="230"/>
      <c r="U33" s="230"/>
    </row>
    <row r="34" spans="1:29" x14ac:dyDescent="0.25">
      <c r="A34" s="221" t="s">
        <v>11</v>
      </c>
      <c r="E34" s="418"/>
    </row>
    <row r="35" spans="1:29" ht="17.25" x14ac:dyDescent="0.4">
      <c r="A35" s="221" t="s">
        <v>152</v>
      </c>
      <c r="C35" s="237">
        <v>17222</v>
      </c>
      <c r="E35" s="452">
        <v>2000</v>
      </c>
      <c r="G35" s="235">
        <v>19222</v>
      </c>
      <c r="I35" s="234">
        <v>0</v>
      </c>
      <c r="J35" s="233"/>
      <c r="K35" s="234">
        <v>0</v>
      </c>
      <c r="L35" s="233"/>
      <c r="M35" s="234">
        <f>I35+K35</f>
        <v>0</v>
      </c>
      <c r="O35" s="244">
        <v>14000</v>
      </c>
      <c r="Q35" s="235">
        <f>I35+C35</f>
        <v>17222</v>
      </c>
      <c r="S35" s="451">
        <f>K35+E35</f>
        <v>2000</v>
      </c>
      <c r="U35" s="235">
        <f>Q35+S35</f>
        <v>19222</v>
      </c>
      <c r="W35" s="307">
        <f>+U35/O35-1</f>
        <v>0.373</v>
      </c>
    </row>
    <row r="36" spans="1:29" ht="9.9499999999999993" customHeight="1" x14ac:dyDescent="0.25">
      <c r="E36" s="418"/>
    </row>
    <row r="37" spans="1:29" x14ac:dyDescent="0.25">
      <c r="A37" s="221" t="s">
        <v>169</v>
      </c>
      <c r="E37" s="418"/>
    </row>
    <row r="38" spans="1:29" x14ac:dyDescent="0.25">
      <c r="A38" s="293" t="s">
        <v>561</v>
      </c>
      <c r="C38" s="444">
        <v>0</v>
      </c>
      <c r="D38" s="418"/>
      <c r="E38" s="418">
        <v>0</v>
      </c>
      <c r="F38" s="418"/>
      <c r="G38" s="594">
        <f t="shared" ref="G38:G39" si="5">C38+E38</f>
        <v>0</v>
      </c>
      <c r="H38" s="418"/>
      <c r="I38" s="418">
        <v>0</v>
      </c>
      <c r="J38" s="418"/>
      <c r="K38" s="418">
        <v>0</v>
      </c>
      <c r="L38" s="418"/>
      <c r="M38" s="597">
        <f t="shared" ref="M38:M39" si="6">I38+K38</f>
        <v>0</v>
      </c>
      <c r="N38" s="418"/>
      <c r="O38" s="418">
        <v>0</v>
      </c>
      <c r="P38" s="418"/>
      <c r="Q38" s="418">
        <v>0</v>
      </c>
      <c r="R38" s="418"/>
      <c r="S38" s="597">
        <f t="shared" ref="S38" si="7">O38+Q38</f>
        <v>0</v>
      </c>
      <c r="T38" s="418"/>
      <c r="U38" s="597">
        <f t="shared" ref="U38" si="8">Q38+S38</f>
        <v>0</v>
      </c>
      <c r="V38" s="418"/>
      <c r="W38" s="243" t="e">
        <f t="shared" ref="W38:W39" si="9">+U38/O38-1</f>
        <v>#DIV/0!</v>
      </c>
      <c r="X38" s="418"/>
      <c r="Y38" s="418"/>
      <c r="Z38" s="418"/>
      <c r="AA38" s="418"/>
      <c r="AB38" s="418"/>
      <c r="AC38" s="418"/>
    </row>
    <row r="39" spans="1:29" ht="17.25" x14ac:dyDescent="0.4">
      <c r="A39" s="293" t="s">
        <v>462</v>
      </c>
      <c r="C39" s="234">
        <v>0</v>
      </c>
      <c r="D39" s="234"/>
      <c r="E39" s="420">
        <v>0</v>
      </c>
      <c r="F39" s="234"/>
      <c r="G39" s="455">
        <f t="shared" si="5"/>
        <v>0</v>
      </c>
      <c r="H39" s="234"/>
      <c r="I39" s="289">
        <v>0</v>
      </c>
      <c r="J39" s="234"/>
      <c r="K39" s="289">
        <v>0</v>
      </c>
      <c r="L39" s="234"/>
      <c r="M39" s="289">
        <f t="shared" si="6"/>
        <v>0</v>
      </c>
      <c r="N39" s="234"/>
      <c r="O39" s="289">
        <v>0</v>
      </c>
      <c r="P39" s="234"/>
      <c r="Q39" s="289">
        <f t="shared" ref="Q39" si="10">I39+C39</f>
        <v>0</v>
      </c>
      <c r="R39" s="234"/>
      <c r="S39" s="289">
        <f t="shared" ref="S39" si="11">K39+E39</f>
        <v>0</v>
      </c>
      <c r="T39" s="234"/>
      <c r="U39" s="289">
        <f t="shared" ref="U39" si="12">M39+G39</f>
        <v>0</v>
      </c>
      <c r="W39" s="307" t="e">
        <f t="shared" si="9"/>
        <v>#DIV/0!</v>
      </c>
    </row>
    <row r="40" spans="1:29" ht="9.9499999999999993" customHeight="1" x14ac:dyDescent="0.4">
      <c r="C40" s="235"/>
      <c r="E40" s="421"/>
      <c r="G40" s="235"/>
      <c r="I40" s="235"/>
      <c r="K40" s="235"/>
      <c r="M40" s="235"/>
      <c r="Q40" s="235"/>
      <c r="S40" s="235"/>
      <c r="U40" s="235"/>
    </row>
    <row r="41" spans="1:29" ht="17.25" x14ac:dyDescent="0.4">
      <c r="A41" s="221" t="s">
        <v>14</v>
      </c>
      <c r="B41" s="231"/>
      <c r="C41" s="235">
        <f>C20+C32+C35+C39</f>
        <v>249612</v>
      </c>
      <c r="E41" s="421">
        <f>E20+E32+E35+E39</f>
        <v>47798</v>
      </c>
      <c r="G41" s="235">
        <f>C41+E41</f>
        <v>297410</v>
      </c>
      <c r="H41" s="230"/>
      <c r="I41" s="235">
        <f>I20+I32+I35+I39</f>
        <v>71181</v>
      </c>
      <c r="K41" s="235">
        <f>K20+K32</f>
        <v>4850</v>
      </c>
      <c r="M41" s="235">
        <f>I41+K41</f>
        <v>76031</v>
      </c>
      <c r="O41" s="235">
        <f>O20+O32+O35+O39</f>
        <v>331830</v>
      </c>
      <c r="Q41" s="235">
        <f>Q20+Q32+Q35+Q39</f>
        <v>320793</v>
      </c>
      <c r="S41" s="235">
        <f>S20+S32+S35+S39</f>
        <v>52648</v>
      </c>
      <c r="U41" s="235">
        <f>Q41+S41</f>
        <v>373441</v>
      </c>
      <c r="W41" s="307">
        <f>+U41/O41-1</f>
        <v>0.12539854744899492</v>
      </c>
      <c r="X41" s="220">
        <f>224465-I41</f>
        <v>153284</v>
      </c>
    </row>
    <row r="42" spans="1:29" ht="9.9499999999999993" customHeight="1" x14ac:dyDescent="0.25">
      <c r="C42" s="230"/>
      <c r="E42" s="419"/>
      <c r="G42" s="230"/>
      <c r="I42" s="230"/>
      <c r="K42" s="230"/>
      <c r="M42" s="230"/>
      <c r="Q42" s="230"/>
      <c r="S42" s="230"/>
      <c r="U42" s="230"/>
    </row>
    <row r="43" spans="1:29" x14ac:dyDescent="0.25">
      <c r="A43" s="221" t="s">
        <v>89</v>
      </c>
      <c r="E43" s="418"/>
    </row>
    <row r="44" spans="1:29" ht="17.25" x14ac:dyDescent="0.4">
      <c r="A44" s="221" t="s">
        <v>154</v>
      </c>
      <c r="B44" s="231"/>
      <c r="C44" s="235">
        <f>C14-C41</f>
        <v>-15778</v>
      </c>
      <c r="D44" s="238"/>
      <c r="E44" s="421">
        <f>E14-E41</f>
        <v>3202</v>
      </c>
      <c r="F44" s="238"/>
      <c r="G44" s="235">
        <f>G14-G41</f>
        <v>-12576</v>
      </c>
      <c r="H44" s="239"/>
      <c r="I44" s="235">
        <f>I14-I41</f>
        <v>259906</v>
      </c>
      <c r="J44" s="238"/>
      <c r="K44" s="235">
        <f>K14-K41</f>
        <v>53150</v>
      </c>
      <c r="L44" s="238"/>
      <c r="M44" s="235">
        <f>M14-M41</f>
        <v>313056</v>
      </c>
      <c r="N44" s="238"/>
      <c r="O44" s="235">
        <f>O14-O41</f>
        <v>303190</v>
      </c>
      <c r="P44" s="238"/>
      <c r="Q44" s="235">
        <f>Q14-Q41</f>
        <v>244128</v>
      </c>
      <c r="R44" s="238"/>
      <c r="S44" s="235">
        <f>S14-S41</f>
        <v>56352</v>
      </c>
      <c r="T44" s="238"/>
      <c r="U44" s="235">
        <f>U14-U41</f>
        <v>300480</v>
      </c>
      <c r="W44" s="307">
        <f>+U44/O44-1</f>
        <v>-8.9382895214221714E-3</v>
      </c>
      <c r="X44" s="220">
        <f>99729-U44</f>
        <v>-200751</v>
      </c>
    </row>
    <row r="45" spans="1:29" ht="9.9499999999999993" customHeight="1" x14ac:dyDescent="0.25">
      <c r="E45" s="418"/>
    </row>
    <row r="46" spans="1:29" x14ac:dyDescent="0.25">
      <c r="A46" s="229" t="s">
        <v>16</v>
      </c>
      <c r="E46" s="418"/>
      <c r="X46" s="220">
        <f>273184-9630-28606-183375</f>
        <v>51573</v>
      </c>
    </row>
    <row r="47" spans="1:29" x14ac:dyDescent="0.25">
      <c r="A47" s="221" t="s">
        <v>468</v>
      </c>
      <c r="C47" s="454">
        <v>150000</v>
      </c>
      <c r="D47" s="290"/>
      <c r="E47" s="456">
        <f>-K49</f>
        <v>75000</v>
      </c>
      <c r="F47" s="290"/>
      <c r="G47" s="290">
        <f>C47+E47</f>
        <v>225000</v>
      </c>
      <c r="H47" s="233"/>
      <c r="I47" s="460">
        <v>0</v>
      </c>
      <c r="J47" s="233"/>
      <c r="K47" s="290">
        <v>0</v>
      </c>
      <c r="L47" s="290"/>
      <c r="M47" s="458">
        <v>0</v>
      </c>
      <c r="N47" s="233"/>
      <c r="O47" s="290">
        <v>150000</v>
      </c>
      <c r="P47" s="233"/>
      <c r="Q47" s="290">
        <f>I47+C47</f>
        <v>150000</v>
      </c>
      <c r="R47" s="233"/>
      <c r="S47" s="290">
        <f>K47+E47</f>
        <v>75000</v>
      </c>
      <c r="T47" s="290"/>
      <c r="U47" s="290">
        <f>M47+G47</f>
        <v>225000</v>
      </c>
      <c r="W47" s="243">
        <v>1</v>
      </c>
    </row>
    <row r="48" spans="1:29" x14ac:dyDescent="0.25">
      <c r="A48" s="221" t="s">
        <v>485</v>
      </c>
      <c r="C48" s="454">
        <v>-135000</v>
      </c>
      <c r="D48" s="233"/>
      <c r="E48" s="456">
        <v>0</v>
      </c>
      <c r="F48" s="233"/>
      <c r="G48" s="290">
        <f t="shared" ref="G48:G50" si="13">C48+E48</f>
        <v>-135000</v>
      </c>
      <c r="H48" s="233"/>
      <c r="I48" s="460">
        <v>0</v>
      </c>
      <c r="J48" s="233"/>
      <c r="K48" s="233">
        <v>0</v>
      </c>
      <c r="L48" s="233"/>
      <c r="M48" s="457">
        <v>0</v>
      </c>
      <c r="N48" s="233"/>
      <c r="O48" s="290">
        <v>-100000</v>
      </c>
      <c r="P48" s="233"/>
      <c r="Q48" s="290">
        <f>I48+C48</f>
        <v>-135000</v>
      </c>
      <c r="R48" s="233"/>
      <c r="S48" s="462">
        <f>K48+E48</f>
        <v>0</v>
      </c>
      <c r="T48" s="233"/>
      <c r="U48" s="290">
        <f>M48+G48</f>
        <v>-135000</v>
      </c>
      <c r="W48" s="243">
        <f t="shared" ref="W48" si="14">+U48/O48-1</f>
        <v>0.35000000000000009</v>
      </c>
    </row>
    <row r="49" spans="1:23" x14ac:dyDescent="0.25">
      <c r="A49" s="221" t="s">
        <v>492</v>
      </c>
      <c r="C49" s="454"/>
      <c r="D49" s="233"/>
      <c r="E49" s="456">
        <v>0</v>
      </c>
      <c r="F49" s="290"/>
      <c r="G49" s="290">
        <f t="shared" si="13"/>
        <v>0</v>
      </c>
      <c r="I49" s="462">
        <v>-150000</v>
      </c>
      <c r="J49" s="290"/>
      <c r="K49" s="290">
        <v>-75000</v>
      </c>
      <c r="L49" s="290"/>
      <c r="M49" s="462">
        <f t="shared" ref="M49:M50" si="15">I49+K49</f>
        <v>-225000</v>
      </c>
      <c r="N49" s="233"/>
      <c r="O49" s="290">
        <v>-150000</v>
      </c>
      <c r="P49" s="233"/>
      <c r="Q49" s="290">
        <f>I49+C49</f>
        <v>-150000</v>
      </c>
      <c r="R49" s="233"/>
      <c r="S49" s="290">
        <f>K49+E49</f>
        <v>-75000</v>
      </c>
      <c r="T49" s="290"/>
      <c r="U49" s="290">
        <f>M49+G49</f>
        <v>-225000</v>
      </c>
      <c r="W49" s="243">
        <v>1</v>
      </c>
    </row>
    <row r="50" spans="1:23" ht="17.25" x14ac:dyDescent="0.4">
      <c r="A50" s="221" t="s">
        <v>350</v>
      </c>
      <c r="C50" s="453">
        <v>0</v>
      </c>
      <c r="D50" s="234"/>
      <c r="E50" s="451">
        <v>0</v>
      </c>
      <c r="F50" s="451"/>
      <c r="G50" s="451">
        <f t="shared" si="13"/>
        <v>0</v>
      </c>
      <c r="I50" s="461">
        <v>0</v>
      </c>
      <c r="K50" s="237">
        <f>-'Estimating Schedule - DSF'!K27</f>
        <v>6398</v>
      </c>
      <c r="M50" s="306">
        <f t="shared" si="15"/>
        <v>6398</v>
      </c>
      <c r="O50" s="244">
        <v>0</v>
      </c>
      <c r="Q50" s="306">
        <f>I50+C50</f>
        <v>0</v>
      </c>
      <c r="S50" s="235">
        <f>K50+E50</f>
        <v>6398</v>
      </c>
      <c r="U50" s="235">
        <f>M50+G50</f>
        <v>6398</v>
      </c>
      <c r="W50" s="617" t="e">
        <f>+U50/O50-1</f>
        <v>#DIV/0!</v>
      </c>
    </row>
    <row r="51" spans="1:23" ht="17.25" x14ac:dyDescent="0.4">
      <c r="A51" s="221" t="s">
        <v>17</v>
      </c>
      <c r="C51" s="289">
        <f>SUM(C47:C50)</f>
        <v>15000</v>
      </c>
      <c r="D51" s="234"/>
      <c r="E51" s="426">
        <f>SUM(E47:E50)</f>
        <v>75000</v>
      </c>
      <c r="F51" s="234"/>
      <c r="G51" s="289">
        <f>SUM(G47:G50)</f>
        <v>90000</v>
      </c>
      <c r="I51" s="237">
        <f>SUM(I47:I50)</f>
        <v>-150000</v>
      </c>
      <c r="K51" s="237">
        <f>SUM(K47:K50)</f>
        <v>-68602</v>
      </c>
      <c r="L51" s="220" t="s">
        <v>387</v>
      </c>
      <c r="M51" s="237">
        <f>SUM(M47:M50)</f>
        <v>-218602</v>
      </c>
      <c r="O51" s="237">
        <f>SUM(O47:O50)</f>
        <v>-100000</v>
      </c>
      <c r="Q51" s="237">
        <f>SUM(Q47:Q50)</f>
        <v>-135000</v>
      </c>
      <c r="S51" s="237">
        <f>SUM(S47:S50)</f>
        <v>6398</v>
      </c>
      <c r="U51" s="237">
        <f>SUM(U47:U50)</f>
        <v>-128602</v>
      </c>
      <c r="W51" s="307">
        <f>+U51/O51-1</f>
        <v>0.28601999999999994</v>
      </c>
    </row>
    <row r="52" spans="1:23" ht="9.9499999999999993" customHeight="1" x14ac:dyDescent="0.4">
      <c r="C52" s="237"/>
      <c r="E52" s="422"/>
      <c r="G52" s="237"/>
      <c r="I52" s="237"/>
      <c r="K52" s="237"/>
      <c r="M52" s="237"/>
      <c r="Q52" s="237"/>
      <c r="S52" s="237"/>
      <c r="U52" s="237"/>
    </row>
    <row r="53" spans="1:23" x14ac:dyDescent="0.25">
      <c r="A53" s="221" t="s">
        <v>285</v>
      </c>
      <c r="E53" s="418"/>
    </row>
    <row r="54" spans="1:23" ht="17.25" x14ac:dyDescent="0.4">
      <c r="A54" s="221" t="s">
        <v>356</v>
      </c>
      <c r="E54" s="418"/>
      <c r="W54" s="240"/>
    </row>
    <row r="55" spans="1:23" ht="17.25" customHeight="1" x14ac:dyDescent="0.4">
      <c r="A55" s="221" t="s">
        <v>90</v>
      </c>
      <c r="C55" s="240">
        <f>C44+C51</f>
        <v>-778</v>
      </c>
      <c r="D55" s="240"/>
      <c r="E55" s="423">
        <f>E44+E51</f>
        <v>78202</v>
      </c>
      <c r="F55" s="240"/>
      <c r="G55" s="240">
        <f>G44+G51</f>
        <v>77424</v>
      </c>
      <c r="H55" s="240"/>
      <c r="I55" s="240">
        <f>I44+I51</f>
        <v>109906</v>
      </c>
      <c r="J55" s="240"/>
      <c r="K55" s="240">
        <f>K44+K51</f>
        <v>-15452</v>
      </c>
      <c r="L55" s="240"/>
      <c r="M55" s="240">
        <f>M51+M44</f>
        <v>94454</v>
      </c>
      <c r="N55" s="240"/>
      <c r="O55" s="240">
        <f>O51+O44</f>
        <v>203190</v>
      </c>
      <c r="P55" s="240"/>
      <c r="Q55" s="240">
        <f>Q51+Q44</f>
        <v>109128</v>
      </c>
      <c r="R55" s="240"/>
      <c r="S55" s="240">
        <f>S51+S44</f>
        <v>62750</v>
      </c>
      <c r="T55" s="240"/>
      <c r="U55" s="240">
        <f>U51+U44</f>
        <v>171878</v>
      </c>
      <c r="W55" s="343">
        <f>+U55/O55-1</f>
        <v>-0.15410207195235981</v>
      </c>
    </row>
  </sheetData>
  <mergeCells count="4">
    <mergeCell ref="A1:T1"/>
    <mergeCell ref="A2:T2"/>
    <mergeCell ref="A3:T3"/>
    <mergeCell ref="A4:T4"/>
  </mergeCells>
  <phoneticPr fontId="0" type="noConversion"/>
  <printOptions horizontalCentered="1"/>
  <pageMargins left="0" right="0" top="0.25" bottom="0.25" header="0.25" footer="0"/>
  <pageSetup scale="72" orientation="landscape" r:id="rId1"/>
  <headerFooter alignWithMargins="0">
    <oddFooter>&amp;L&amp;"Times New Roman,Regular"&amp;9&amp;D &amp;C&amp;"Times New Roman,Regular"&amp;9&amp;Z&amp;F&amp;R&amp;"Times New Roman,Regular"&amp;9&amp;A</oddFooter>
  </headerFooter>
  <ignoredErrors>
    <ignoredError sqref="K32"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7030A0"/>
  </sheetPr>
  <dimension ref="A1:W30"/>
  <sheetViews>
    <sheetView view="pageBreakPreview" zoomScaleNormal="75" workbookViewId="0">
      <selection activeCell="E23" sqref="E23"/>
    </sheetView>
  </sheetViews>
  <sheetFormatPr defaultColWidth="9.77734375" defaultRowHeight="15.75" x14ac:dyDescent="0.25"/>
  <cols>
    <col min="1" max="1" width="10.77734375" style="1" customWidth="1"/>
    <col min="2" max="2" width="7.77734375" style="1" customWidth="1"/>
    <col min="3" max="3" width="14.5546875" style="1" customWidth="1"/>
    <col min="4" max="4" width="3.21875" style="1" customWidth="1"/>
    <col min="5" max="5" width="9.33203125" style="1" customWidth="1"/>
    <col min="6" max="6" width="1.33203125" style="1" customWidth="1"/>
    <col min="7" max="7" width="9.33203125" style="22" customWidth="1"/>
    <col min="8" max="8" width="1.33203125" style="1" customWidth="1"/>
    <col min="9" max="9" width="9.33203125" style="22" customWidth="1"/>
    <col min="10" max="10" width="1.33203125" style="1" customWidth="1"/>
    <col min="11" max="11" width="9.33203125" style="22" customWidth="1"/>
    <col min="12" max="12" width="1.33203125" style="1" customWidth="1"/>
    <col min="13" max="13" width="9.33203125" style="1" customWidth="1"/>
    <col min="14" max="14" width="7.44140625" style="1" customWidth="1"/>
    <col min="15" max="15" width="9.77734375" style="22" hidden="1" customWidth="1"/>
    <col min="16" max="16" width="1.77734375" style="1" hidden="1" customWidth="1"/>
    <col min="17" max="17" width="9.77734375" style="22" hidden="1" customWidth="1"/>
    <col min="18" max="18" width="1.77734375" style="1" hidden="1" customWidth="1"/>
    <col min="19" max="19" width="9.77734375" style="22" hidden="1" customWidth="1"/>
    <col min="20" max="20" width="7.33203125" style="1" customWidth="1"/>
    <col min="21" max="21" width="8" style="1" customWidth="1"/>
    <col min="22" max="16384" width="9.77734375" style="1"/>
  </cols>
  <sheetData>
    <row r="1" spans="1:19" x14ac:dyDescent="0.25">
      <c r="M1" s="20" t="s">
        <v>340</v>
      </c>
    </row>
    <row r="2" spans="1:19" x14ac:dyDescent="0.25">
      <c r="A2" s="623" t="s">
        <v>47</v>
      </c>
      <c r="B2" s="623"/>
      <c r="C2" s="623"/>
      <c r="D2" s="623"/>
      <c r="E2" s="623"/>
      <c r="F2" s="623"/>
      <c r="G2" s="623"/>
      <c r="H2" s="623"/>
      <c r="I2" s="623"/>
      <c r="J2" s="623"/>
      <c r="K2" s="623"/>
      <c r="L2" s="623"/>
      <c r="M2" s="623"/>
      <c r="N2" s="18"/>
      <c r="O2" s="20"/>
      <c r="P2" s="18"/>
      <c r="Q2" s="20"/>
      <c r="R2" s="18"/>
      <c r="S2" s="20" t="s">
        <v>243</v>
      </c>
    </row>
    <row r="3" spans="1:19" x14ac:dyDescent="0.25">
      <c r="A3" s="623" t="s">
        <v>335</v>
      </c>
      <c r="B3" s="623"/>
      <c r="C3" s="623"/>
      <c r="D3" s="623"/>
      <c r="E3" s="623"/>
      <c r="F3" s="623"/>
      <c r="G3" s="623"/>
      <c r="H3" s="623"/>
      <c r="I3" s="623"/>
      <c r="J3" s="623"/>
      <c r="K3" s="623"/>
      <c r="L3" s="623"/>
      <c r="M3" s="623"/>
      <c r="N3" s="18"/>
      <c r="O3" s="20"/>
      <c r="P3" s="18"/>
      <c r="Q3" s="20"/>
      <c r="R3" s="18"/>
      <c r="S3" s="20"/>
    </row>
    <row r="4" spans="1:19" x14ac:dyDescent="0.25">
      <c r="A4" s="623" t="s">
        <v>322</v>
      </c>
      <c r="B4" s="623"/>
      <c r="C4" s="623"/>
      <c r="D4" s="623"/>
      <c r="E4" s="623"/>
      <c r="F4" s="623"/>
      <c r="G4" s="623"/>
      <c r="H4" s="623"/>
      <c r="I4" s="623"/>
      <c r="J4" s="623"/>
      <c r="K4" s="623"/>
      <c r="L4" s="623"/>
      <c r="M4" s="623"/>
      <c r="N4" s="18"/>
      <c r="O4" s="20"/>
      <c r="P4" s="18"/>
      <c r="Q4" s="20"/>
      <c r="R4" s="18"/>
      <c r="S4" s="20"/>
    </row>
    <row r="5" spans="1:19" x14ac:dyDescent="0.25">
      <c r="A5" s="623" t="str">
        <f>'Estimating Schedule - GF'!A5:H5</f>
        <v>Year Ending September 30, 2018</v>
      </c>
      <c r="B5" s="623"/>
      <c r="C5" s="623"/>
      <c r="D5" s="623"/>
      <c r="E5" s="623"/>
      <c r="F5" s="623"/>
      <c r="G5" s="623"/>
      <c r="H5" s="623"/>
      <c r="I5" s="623"/>
      <c r="J5" s="623"/>
      <c r="K5" s="623"/>
      <c r="L5" s="623"/>
      <c r="M5" s="623"/>
      <c r="N5" s="18"/>
      <c r="O5" s="20"/>
      <c r="P5" s="18"/>
      <c r="Q5" s="20"/>
      <c r="R5" s="18"/>
      <c r="S5" s="20"/>
    </row>
    <row r="6" spans="1:19" x14ac:dyDescent="0.25">
      <c r="F6" s="22"/>
    </row>
    <row r="8" spans="1:19" x14ac:dyDescent="0.25">
      <c r="G8" s="22" t="s">
        <v>156</v>
      </c>
      <c r="Q8" s="25" t="s">
        <v>53</v>
      </c>
    </row>
    <row r="9" spans="1:19" x14ac:dyDescent="0.25">
      <c r="G9" s="24" t="s">
        <v>157</v>
      </c>
      <c r="H9" s="6"/>
      <c r="I9" s="24"/>
      <c r="J9" s="6"/>
      <c r="K9" s="24"/>
      <c r="O9" s="33" t="s">
        <v>109</v>
      </c>
      <c r="P9" s="6"/>
      <c r="Q9" s="24"/>
      <c r="R9" s="6"/>
      <c r="S9" s="24"/>
    </row>
    <row r="10" spans="1:19" x14ac:dyDescent="0.25">
      <c r="E10" s="7" t="s">
        <v>386</v>
      </c>
      <c r="G10" s="162" t="s">
        <v>349</v>
      </c>
      <c r="H10" s="77"/>
      <c r="I10" s="162" t="s">
        <v>345</v>
      </c>
      <c r="J10" s="77"/>
      <c r="K10" s="76">
        <v>2018</v>
      </c>
      <c r="L10" s="77"/>
      <c r="M10" s="27" t="s">
        <v>384</v>
      </c>
      <c r="N10" s="77"/>
      <c r="O10" s="76" t="e">
        <f>#REF!</f>
        <v>#REF!</v>
      </c>
      <c r="P10" s="77"/>
      <c r="Q10" s="76" t="e">
        <f>#REF!</f>
        <v>#REF!</v>
      </c>
      <c r="R10" s="77"/>
      <c r="S10" s="76" t="e">
        <f>#REF!</f>
        <v>#REF!</v>
      </c>
    </row>
    <row r="11" spans="1:19" x14ac:dyDescent="0.25">
      <c r="E11" s="215" t="s">
        <v>85</v>
      </c>
      <c r="G11" s="48" t="s">
        <v>83</v>
      </c>
      <c r="I11" s="48" t="s">
        <v>84</v>
      </c>
      <c r="K11" s="245" t="s">
        <v>84</v>
      </c>
      <c r="M11" s="215" t="s">
        <v>385</v>
      </c>
      <c r="O11" s="48" t="s">
        <v>83</v>
      </c>
      <c r="Q11" s="48" t="s">
        <v>84</v>
      </c>
      <c r="S11" s="48" t="s">
        <v>85</v>
      </c>
    </row>
    <row r="12" spans="1:19" x14ac:dyDescent="0.25">
      <c r="A12" s="2" t="s">
        <v>0</v>
      </c>
      <c r="G12" s="31"/>
      <c r="I12" s="31"/>
      <c r="K12" s="31"/>
      <c r="O12" s="31"/>
      <c r="Q12" s="31"/>
      <c r="S12" s="31"/>
    </row>
    <row r="13" spans="1:19" x14ac:dyDescent="0.25">
      <c r="A13" s="1" t="s">
        <v>158</v>
      </c>
      <c r="G13" s="31"/>
      <c r="I13" s="31"/>
      <c r="K13" s="31"/>
      <c r="O13" s="31"/>
      <c r="Q13" s="31"/>
      <c r="S13" s="31"/>
    </row>
    <row r="14" spans="1:19" ht="18" x14ac:dyDescent="0.4">
      <c r="A14" s="1" t="s">
        <v>159</v>
      </c>
      <c r="C14" s="37"/>
      <c r="D14" s="37"/>
      <c r="E14" s="283">
        <v>0</v>
      </c>
      <c r="G14" s="283">
        <v>0</v>
      </c>
      <c r="H14" s="283"/>
      <c r="I14" s="283">
        <v>0</v>
      </c>
      <c r="J14" s="283"/>
      <c r="K14" s="283">
        <f>G14+I14</f>
        <v>0</v>
      </c>
      <c r="M14" s="216">
        <v>0</v>
      </c>
      <c r="O14" s="45" t="e">
        <f>G14+#REF!</f>
        <v>#REF!</v>
      </c>
      <c r="Q14" s="45" t="e">
        <f>I14+#REF!</f>
        <v>#REF!</v>
      </c>
      <c r="S14" s="45" t="e">
        <f>K14+#REF!</f>
        <v>#REF!</v>
      </c>
    </row>
    <row r="15" spans="1:19" x14ac:dyDescent="0.25">
      <c r="C15" s="37"/>
      <c r="D15" s="37"/>
      <c r="E15" s="37"/>
      <c r="G15" s="31"/>
      <c r="I15" s="31"/>
      <c r="K15" s="31"/>
      <c r="O15" s="31"/>
      <c r="Q15" s="31"/>
      <c r="S15" s="31"/>
    </row>
    <row r="16" spans="1:19" x14ac:dyDescent="0.25">
      <c r="A16" s="2" t="s">
        <v>7</v>
      </c>
      <c r="C16" s="37"/>
      <c r="D16" s="37"/>
      <c r="E16" s="37"/>
      <c r="G16" s="31"/>
      <c r="I16" s="31"/>
      <c r="K16" s="31"/>
      <c r="O16" s="31"/>
      <c r="Q16" s="31"/>
      <c r="S16" s="31"/>
    </row>
    <row r="17" spans="1:23" x14ac:dyDescent="0.25">
      <c r="A17" s="1" t="s">
        <v>160</v>
      </c>
      <c r="C17" s="37"/>
      <c r="D17" s="37"/>
      <c r="E17" s="37"/>
      <c r="G17" s="31"/>
      <c r="I17" s="31"/>
      <c r="K17" s="31"/>
      <c r="O17" s="31"/>
      <c r="Q17" s="31"/>
      <c r="S17" s="31"/>
    </row>
    <row r="18" spans="1:23" x14ac:dyDescent="0.25">
      <c r="A18" s="1" t="s">
        <v>161</v>
      </c>
      <c r="C18" s="37"/>
      <c r="D18" s="37"/>
      <c r="E18" s="31">
        <v>0</v>
      </c>
      <c r="G18" s="467">
        <v>0</v>
      </c>
      <c r="I18" s="187">
        <v>0</v>
      </c>
      <c r="K18" s="31">
        <f>G18+I18</f>
        <v>0</v>
      </c>
      <c r="M18" s="216" t="e">
        <f>+K18/E18-1</f>
        <v>#DIV/0!</v>
      </c>
      <c r="O18" s="31" t="e">
        <f>G18+#REF!</f>
        <v>#REF!</v>
      </c>
      <c r="Q18" s="31" t="e">
        <f>I18+#REF!</f>
        <v>#REF!</v>
      </c>
      <c r="S18" s="31" t="e">
        <f>K18+#REF!</f>
        <v>#REF!</v>
      </c>
    </row>
    <row r="19" spans="1:23" x14ac:dyDescent="0.25">
      <c r="A19" s="1" t="s">
        <v>162</v>
      </c>
      <c r="C19" s="37"/>
      <c r="D19" s="37"/>
      <c r="E19" s="31">
        <v>0</v>
      </c>
      <c r="G19" s="467">
        <v>0</v>
      </c>
      <c r="I19" s="187">
        <v>0</v>
      </c>
      <c r="K19" s="31">
        <f>G19+I19</f>
        <v>0</v>
      </c>
      <c r="M19" s="216" t="e">
        <f>+K19/E19-1</f>
        <v>#DIV/0!</v>
      </c>
      <c r="O19" s="31" t="e">
        <f>G19+#REF!</f>
        <v>#REF!</v>
      </c>
      <c r="Q19" s="31" t="e">
        <f>I19+#REF!</f>
        <v>#REF!</v>
      </c>
      <c r="S19" s="31" t="e">
        <f>K19+#REF!</f>
        <v>#REF!</v>
      </c>
    </row>
    <row r="20" spans="1:23" ht="18" x14ac:dyDescent="0.4">
      <c r="A20" s="1" t="s">
        <v>163</v>
      </c>
      <c r="C20" s="37"/>
      <c r="D20" s="37"/>
      <c r="E20" s="80">
        <v>0</v>
      </c>
      <c r="G20" s="468">
        <v>0</v>
      </c>
      <c r="H20" s="188"/>
      <c r="I20" s="194">
        <v>0</v>
      </c>
      <c r="J20" s="188"/>
      <c r="K20" s="249">
        <f>G20+I20</f>
        <v>0</v>
      </c>
      <c r="M20" s="216" t="e">
        <f>+K20/E20-1</f>
        <v>#DIV/0!</v>
      </c>
      <c r="O20" s="45" t="e">
        <f>G20+#REF!</f>
        <v>#REF!</v>
      </c>
      <c r="Q20" s="45" t="e">
        <f>I20+#REF!</f>
        <v>#REF!</v>
      </c>
      <c r="S20" s="45" t="e">
        <f>K20+#REF!</f>
        <v>#REF!</v>
      </c>
      <c r="U20" s="45"/>
    </row>
    <row r="21" spans="1:23" ht="18" x14ac:dyDescent="0.4">
      <c r="A21" s="1" t="s">
        <v>164</v>
      </c>
      <c r="C21" s="37"/>
      <c r="D21" s="37"/>
      <c r="E21" s="80">
        <f>SUM(E18:E20)</f>
        <v>0</v>
      </c>
      <c r="G21" s="45">
        <f>SUM(G17:G20)</f>
        <v>0</v>
      </c>
      <c r="I21" s="194">
        <f>K21-G21</f>
        <v>0</v>
      </c>
      <c r="K21" s="45">
        <f>SUM(K18:K20)</f>
        <v>0</v>
      </c>
      <c r="M21" s="216" t="e">
        <f>+K21/E21-1</f>
        <v>#DIV/0!</v>
      </c>
      <c r="O21" s="45" t="e">
        <f>SUM(O17:O20)</f>
        <v>#REF!</v>
      </c>
      <c r="Q21" s="45" t="e">
        <f>SUM(Q17:Q20)</f>
        <v>#REF!</v>
      </c>
      <c r="S21" s="45" t="e">
        <f>SUM(S17:S20)</f>
        <v>#REF!</v>
      </c>
    </row>
    <row r="22" spans="1:23" x14ac:dyDescent="0.25">
      <c r="C22" s="37"/>
      <c r="D22" s="37"/>
      <c r="E22" s="31"/>
      <c r="G22" s="31"/>
      <c r="I22" s="31"/>
      <c r="K22" s="31"/>
      <c r="O22" s="31"/>
      <c r="Q22" s="31"/>
      <c r="S22" s="31"/>
    </row>
    <row r="23" spans="1:23" x14ac:dyDescent="0.25">
      <c r="A23" s="1" t="s">
        <v>455</v>
      </c>
      <c r="C23" s="37"/>
      <c r="D23" s="37"/>
      <c r="E23" s="31"/>
      <c r="G23" s="31"/>
      <c r="I23" s="31"/>
      <c r="K23" s="31"/>
      <c r="O23" s="31"/>
      <c r="Q23" s="31"/>
      <c r="S23" s="31"/>
    </row>
    <row r="24" spans="1:23" ht="18" x14ac:dyDescent="0.4">
      <c r="A24" s="1" t="s">
        <v>286</v>
      </c>
      <c r="C24" s="37"/>
      <c r="D24" s="37"/>
      <c r="E24" s="36">
        <f>E14-E21</f>
        <v>0</v>
      </c>
      <c r="G24" s="36">
        <f>G14-G21</f>
        <v>0</v>
      </c>
      <c r="I24" s="308">
        <f>I14-I21</f>
        <v>0</v>
      </c>
      <c r="K24" s="36">
        <f>K14-K21</f>
        <v>0</v>
      </c>
      <c r="L24" s="145"/>
      <c r="M24" s="216" t="e">
        <f>+K24/E24-1</f>
        <v>#DIV/0!</v>
      </c>
      <c r="N24" s="145"/>
      <c r="O24" s="45" t="e">
        <f>#REF!-#REF!</f>
        <v>#REF!</v>
      </c>
      <c r="P24" s="145"/>
      <c r="Q24" s="45" t="e">
        <f>#REF!-#REF!</f>
        <v>#REF!</v>
      </c>
      <c r="R24" s="145"/>
      <c r="S24" s="45" t="e">
        <f>#REF!-#REF!</f>
        <v>#REF!</v>
      </c>
    </row>
    <row r="25" spans="1:23" x14ac:dyDescent="0.25">
      <c r="C25" s="37"/>
      <c r="D25" s="37"/>
      <c r="E25" s="31"/>
      <c r="G25" s="31"/>
      <c r="I25" s="31"/>
      <c r="K25" s="31"/>
      <c r="O25" s="31"/>
      <c r="Q25" s="31"/>
      <c r="S25" s="31"/>
    </row>
    <row r="26" spans="1:23" x14ac:dyDescent="0.25">
      <c r="A26" s="2" t="s">
        <v>474</v>
      </c>
      <c r="C26" s="37"/>
      <c r="D26" s="37"/>
      <c r="E26" s="31"/>
    </row>
    <row r="27" spans="1:23" ht="18" x14ac:dyDescent="0.4">
      <c r="A27" s="1" t="s">
        <v>223</v>
      </c>
      <c r="C27" s="37"/>
      <c r="D27" s="37"/>
      <c r="E27" s="80">
        <v>0</v>
      </c>
      <c r="F27" s="145"/>
      <c r="G27" s="191">
        <v>0</v>
      </c>
      <c r="H27" s="145"/>
      <c r="I27" s="191">
        <v>-6398</v>
      </c>
      <c r="J27" s="145"/>
      <c r="K27" s="80">
        <f>G27+I27</f>
        <v>-6398</v>
      </c>
      <c r="M27" s="216" t="e">
        <f>+K27/E27-1</f>
        <v>#DIV/0!</v>
      </c>
      <c r="N27" s="22"/>
      <c r="P27" s="22"/>
      <c r="R27" s="22"/>
      <c r="T27" s="22">
        <f>4790.8*7</f>
        <v>33535.599999999999</v>
      </c>
      <c r="U27" s="22"/>
      <c r="V27" s="22"/>
      <c r="W27" s="22"/>
    </row>
    <row r="28" spans="1:23" x14ac:dyDescent="0.25">
      <c r="C28" s="37"/>
      <c r="D28" s="37"/>
      <c r="E28" s="37"/>
    </row>
    <row r="29" spans="1:23" x14ac:dyDescent="0.25">
      <c r="A29" s="1" t="s">
        <v>165</v>
      </c>
      <c r="C29" s="37"/>
      <c r="D29" s="37"/>
      <c r="E29" s="37"/>
      <c r="N29" s="1" t="s">
        <v>19</v>
      </c>
    </row>
    <row r="30" spans="1:23" ht="18" x14ac:dyDescent="0.4">
      <c r="A30" s="1" t="s">
        <v>18</v>
      </c>
      <c r="C30" s="37"/>
      <c r="D30" s="37"/>
      <c r="E30" s="141">
        <f>E24+E27</f>
        <v>0</v>
      </c>
      <c r="G30" s="141">
        <f>G24+G27</f>
        <v>0</v>
      </c>
      <c r="H30" s="141"/>
      <c r="I30" s="141">
        <f>I24+I27</f>
        <v>-6398</v>
      </c>
      <c r="J30" s="141"/>
      <c r="K30" s="141">
        <f>K24+K27</f>
        <v>-6398</v>
      </c>
      <c r="M30" s="216" t="e">
        <f>+K30/E30-1</f>
        <v>#DIV/0!</v>
      </c>
      <c r="O30" s="22" t="e">
        <f>O24+#REF!</f>
        <v>#REF!</v>
      </c>
      <c r="Q30" s="22" t="e">
        <f>Q24+#REF!</f>
        <v>#REF!</v>
      </c>
      <c r="S30" s="22" t="e">
        <f>S24+#REF!</f>
        <v>#REF!</v>
      </c>
    </row>
  </sheetData>
  <mergeCells count="4">
    <mergeCell ref="A5:M5"/>
    <mergeCell ref="A4:M4"/>
    <mergeCell ref="A3:M3"/>
    <mergeCell ref="A2:M2"/>
  </mergeCells>
  <phoneticPr fontId="0" type="noConversion"/>
  <pageMargins left="0.5" right="0.1" top="0.25" bottom="0.25" header="0.25" footer="0"/>
  <pageSetup scale="93" orientation="portrait" r:id="rId1"/>
  <headerFooter alignWithMargins="0">
    <oddFooter>&amp;L&amp;"Times New Roman,Regular"&amp;9&amp;D &amp;C&amp;"Times New Roman,Regular"&amp;9&amp;Z&amp;F&amp;R&amp;"Times New Roman,Regular"&amp;9&amp;A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abColor rgb="FF7030A0"/>
  </sheetPr>
  <dimension ref="A1:AK62"/>
  <sheetViews>
    <sheetView view="pageBreakPreview" topLeftCell="A31" zoomScaleNormal="100" zoomScaleSheetLayoutView="100" workbookViewId="0">
      <pane xSplit="2" topLeftCell="C1" activePane="topRight" state="frozen"/>
      <selection activeCell="E23" sqref="E23"/>
      <selection pane="topRight" activeCell="E23" sqref="E23"/>
    </sheetView>
  </sheetViews>
  <sheetFormatPr defaultColWidth="9.77734375" defaultRowHeight="15.75" x14ac:dyDescent="0.25"/>
  <cols>
    <col min="1" max="1" width="12.88671875" style="1" customWidth="1"/>
    <col min="2" max="2" width="11.44140625" style="1" customWidth="1"/>
    <col min="3" max="3" width="0.77734375" style="1" customWidth="1"/>
    <col min="4" max="4" width="8.77734375" style="22" customWidth="1"/>
    <col min="5" max="5" width="0.88671875" style="1" customWidth="1"/>
    <col min="6" max="6" width="8.77734375" style="22" customWidth="1"/>
    <col min="7" max="7" width="0.88671875" style="1" customWidth="1"/>
    <col min="8" max="8" width="8.77734375" style="22" customWidth="1"/>
    <col min="9" max="9" width="0.88671875" style="1" customWidth="1"/>
    <col min="10" max="10" width="9.44140625" style="22" customWidth="1"/>
    <col min="11" max="11" width="0.88671875" style="1" customWidth="1"/>
    <col min="12" max="12" width="9.5546875" style="22" bestFit="1" customWidth="1"/>
    <col min="13" max="13" width="0.88671875" style="1" customWidth="1"/>
    <col min="14" max="14" width="9.44140625" style="22" customWidth="1"/>
    <col min="15" max="15" width="0.88671875" style="1" customWidth="1"/>
    <col min="16" max="16" width="8.77734375" style="22" customWidth="1"/>
    <col min="17" max="17" width="0.88671875" style="1" customWidth="1"/>
    <col min="18" max="18" width="8.77734375" style="22" customWidth="1"/>
    <col min="19" max="19" width="0.88671875" style="1" customWidth="1"/>
    <col min="20" max="20" width="9.44140625" style="22" customWidth="1"/>
    <col min="21" max="21" width="0.33203125" style="1" customWidth="1"/>
    <col min="22" max="22" width="9.6640625" style="22" customWidth="1"/>
    <col min="23" max="23" width="0.6640625" style="1" customWidth="1"/>
    <col min="24" max="24" width="8.77734375" style="22" customWidth="1"/>
    <col min="25" max="25" width="0.33203125" style="1" customWidth="1"/>
    <col min="26" max="26" width="9.5546875" style="22" bestFit="1" customWidth="1"/>
    <col min="27" max="27" width="0.5546875" style="1" customWidth="1"/>
    <col min="28" max="28" width="9.21875" style="1" customWidth="1"/>
    <col min="29" max="29" width="11.44140625" style="22" customWidth="1"/>
    <col min="30" max="30" width="0.44140625" style="1" customWidth="1"/>
    <col min="31" max="31" width="10.33203125" style="22" bestFit="1" customWidth="1"/>
    <col min="32" max="32" width="1.21875" style="1" customWidth="1"/>
    <col min="33" max="33" width="10.77734375" style="22" bestFit="1" customWidth="1"/>
    <col min="34" max="34" width="0.44140625" style="1" customWidth="1"/>
    <col min="35" max="35" width="8" style="1" bestFit="1" customWidth="1"/>
    <col min="36" max="16384" width="9.77734375" style="1"/>
  </cols>
  <sheetData>
    <row r="1" spans="1:35" x14ac:dyDescent="0.25">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I1" s="7" t="s">
        <v>325</v>
      </c>
    </row>
    <row r="2" spans="1:35" x14ac:dyDescent="0.25">
      <c r="A2" s="623" t="s">
        <v>236</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row>
    <row r="3" spans="1:35" x14ac:dyDescent="0.25">
      <c r="A3" s="623" t="s">
        <v>322</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row>
    <row r="4" spans="1:35" x14ac:dyDescent="0.25">
      <c r="A4" s="623" t="str">
        <f>'Estimating Schedule - GF'!A5:H5</f>
        <v>Year Ending September 30, 2018</v>
      </c>
      <c r="B4" s="623"/>
      <c r="C4" s="623"/>
      <c r="D4" s="623"/>
      <c r="E4" s="623"/>
      <c r="F4" s="623"/>
      <c r="G4" s="623"/>
      <c r="H4" s="623"/>
      <c r="I4" s="623"/>
      <c r="J4" s="623"/>
      <c r="K4" s="623"/>
      <c r="L4" s="623"/>
      <c r="M4" s="623"/>
      <c r="N4" s="623"/>
      <c r="O4" s="623"/>
      <c r="P4" s="623"/>
      <c r="Q4" s="623"/>
      <c r="R4" s="623"/>
      <c r="S4" s="623"/>
      <c r="T4" s="623"/>
      <c r="U4" s="623"/>
      <c r="V4" s="623"/>
      <c r="W4" s="623"/>
      <c r="X4" s="623"/>
      <c r="Y4" s="623"/>
      <c r="Z4" s="623"/>
      <c r="AA4" s="623"/>
      <c r="AB4" s="623"/>
      <c r="AC4" s="623"/>
      <c r="AD4" s="623"/>
      <c r="AE4" s="623"/>
      <c r="AF4" s="623"/>
      <c r="AG4" s="623"/>
      <c r="AH4" s="623"/>
      <c r="AI4" s="623"/>
    </row>
    <row r="5" spans="1:35" x14ac:dyDescent="0.25">
      <c r="B5" s="2"/>
      <c r="J5" s="31"/>
      <c r="L5" s="31"/>
    </row>
    <row r="6" spans="1:35" x14ac:dyDescent="0.25">
      <c r="B6" s="167"/>
      <c r="C6" s="7"/>
      <c r="D6" s="25"/>
      <c r="E6" s="7"/>
      <c r="F6" s="25"/>
      <c r="G6" s="7"/>
      <c r="H6" s="25"/>
      <c r="I6" s="7"/>
      <c r="J6" s="168"/>
      <c r="K6" s="7"/>
      <c r="L6" s="168"/>
      <c r="M6" s="7"/>
      <c r="N6" s="25"/>
      <c r="O6" s="7"/>
      <c r="P6" s="25"/>
      <c r="Q6" s="7"/>
      <c r="R6" s="25"/>
      <c r="S6" s="7"/>
      <c r="T6" s="25"/>
      <c r="U6" s="7"/>
      <c r="V6" s="25"/>
      <c r="W6" s="7"/>
      <c r="X6" s="25"/>
      <c r="Y6" s="7"/>
      <c r="Z6" s="25"/>
      <c r="AA6" s="7"/>
      <c r="AB6" s="7"/>
      <c r="AC6" s="25"/>
      <c r="AD6" s="7"/>
      <c r="AE6" s="25" t="s">
        <v>299</v>
      </c>
      <c r="AF6" s="7"/>
      <c r="AG6" s="25"/>
    </row>
    <row r="7" spans="1:35" x14ac:dyDescent="0.25">
      <c r="F7" s="22" t="s">
        <v>19</v>
      </c>
      <c r="I7" s="62"/>
      <c r="J7" s="31"/>
      <c r="L7" s="31"/>
      <c r="O7" s="62"/>
      <c r="U7" s="62"/>
      <c r="AA7" s="62"/>
      <c r="AB7" s="37"/>
    </row>
    <row r="8" spans="1:35" ht="18.75" x14ac:dyDescent="0.3">
      <c r="A8" s="1" t="s">
        <v>19</v>
      </c>
      <c r="D8" s="636" t="s">
        <v>391</v>
      </c>
      <c r="E8" s="636"/>
      <c r="F8" s="636"/>
      <c r="G8" s="636"/>
      <c r="H8" s="637"/>
      <c r="I8" s="62"/>
      <c r="J8" s="629" t="s">
        <v>388</v>
      </c>
      <c r="K8" s="629"/>
      <c r="L8" s="629"/>
      <c r="M8" s="629"/>
      <c r="N8" s="635"/>
      <c r="O8" s="62"/>
      <c r="P8" s="636" t="s">
        <v>389</v>
      </c>
      <c r="Q8" s="636"/>
      <c r="R8" s="636"/>
      <c r="S8" s="636"/>
      <c r="T8" s="637"/>
      <c r="U8" s="62"/>
      <c r="V8" s="638" t="s">
        <v>390</v>
      </c>
      <c r="W8" s="638"/>
      <c r="X8" s="638"/>
      <c r="Y8" s="638"/>
      <c r="Z8" s="639"/>
      <c r="AA8" s="62"/>
      <c r="AB8" s="640" t="s">
        <v>91</v>
      </c>
      <c r="AC8" s="640"/>
      <c r="AD8" s="640"/>
      <c r="AE8" s="640"/>
      <c r="AF8" s="640"/>
      <c r="AG8" s="640"/>
      <c r="AH8" s="640"/>
      <c r="AI8" s="640"/>
    </row>
    <row r="9" spans="1:35" x14ac:dyDescent="0.25">
      <c r="C9" s="82"/>
      <c r="D9" s="83"/>
      <c r="E9" s="82"/>
      <c r="F9" s="83"/>
      <c r="G9" s="82"/>
      <c r="H9" s="83"/>
      <c r="I9" s="84"/>
      <c r="J9" s="72"/>
      <c r="K9" s="82"/>
      <c r="L9" s="85" t="s">
        <v>19</v>
      </c>
      <c r="M9" s="82"/>
      <c r="N9" s="83"/>
      <c r="O9" s="84"/>
      <c r="P9" s="83"/>
      <c r="Q9" s="82"/>
      <c r="R9" s="85" t="s">
        <v>19</v>
      </c>
      <c r="S9" s="82"/>
      <c r="T9" s="83"/>
      <c r="U9" s="84"/>
      <c r="V9" s="83"/>
      <c r="W9" s="82"/>
      <c r="X9" s="85" t="s">
        <v>19</v>
      </c>
      <c r="Y9" s="82"/>
      <c r="Z9" s="83"/>
      <c r="AA9" s="84"/>
      <c r="AB9" s="90"/>
      <c r="AC9" s="83"/>
      <c r="AD9" s="82"/>
      <c r="AE9" s="85" t="s">
        <v>19</v>
      </c>
      <c r="AF9" s="82"/>
      <c r="AG9" s="83"/>
    </row>
    <row r="10" spans="1:35" x14ac:dyDescent="0.25">
      <c r="C10" s="82"/>
      <c r="D10" s="162" t="s">
        <v>349</v>
      </c>
      <c r="E10" s="77"/>
      <c r="F10" s="162" t="s">
        <v>345</v>
      </c>
      <c r="G10" s="87"/>
      <c r="H10" s="86">
        <v>2018</v>
      </c>
      <c r="I10" s="146"/>
      <c r="J10" s="162" t="s">
        <v>349</v>
      </c>
      <c r="K10" s="77"/>
      <c r="L10" s="162" t="s">
        <v>345</v>
      </c>
      <c r="M10" s="87"/>
      <c r="N10" s="86">
        <f>H10</f>
        <v>2018</v>
      </c>
      <c r="O10" s="146"/>
      <c r="P10" s="162" t="s">
        <v>349</v>
      </c>
      <c r="Q10" s="77"/>
      <c r="R10" s="162" t="s">
        <v>345</v>
      </c>
      <c r="S10" s="87"/>
      <c r="T10" s="86">
        <f>N10</f>
        <v>2018</v>
      </c>
      <c r="U10" s="146"/>
      <c r="V10" s="162" t="s">
        <v>349</v>
      </c>
      <c r="W10" s="77"/>
      <c r="X10" s="162" t="s">
        <v>345</v>
      </c>
      <c r="Y10" s="87"/>
      <c r="Z10" s="86">
        <f>T10</f>
        <v>2018</v>
      </c>
      <c r="AA10" s="146"/>
      <c r="AB10" s="246" t="s">
        <v>386</v>
      </c>
      <c r="AC10" s="162" t="s">
        <v>349</v>
      </c>
      <c r="AD10" s="77"/>
      <c r="AE10" s="162" t="s">
        <v>345</v>
      </c>
      <c r="AF10" s="87"/>
      <c r="AG10" s="86">
        <f>Z10</f>
        <v>2018</v>
      </c>
      <c r="AI10" s="7" t="s">
        <v>384</v>
      </c>
    </row>
    <row r="11" spans="1:35" ht="18" x14ac:dyDescent="0.4">
      <c r="C11" s="82"/>
      <c r="D11" s="88" t="s">
        <v>83</v>
      </c>
      <c r="E11" s="82"/>
      <c r="F11" s="88" t="s">
        <v>84</v>
      </c>
      <c r="G11" s="82"/>
      <c r="H11" s="88" t="s">
        <v>84</v>
      </c>
      <c r="I11" s="89"/>
      <c r="J11" s="88" t="s">
        <v>83</v>
      </c>
      <c r="K11" s="90"/>
      <c r="L11" s="88" t="s">
        <v>84</v>
      </c>
      <c r="M11" s="90"/>
      <c r="N11" s="88" t="s">
        <v>84</v>
      </c>
      <c r="O11" s="89"/>
      <c r="P11" s="88" t="s">
        <v>83</v>
      </c>
      <c r="Q11" s="90"/>
      <c r="R11" s="88" t="s">
        <v>84</v>
      </c>
      <c r="S11" s="90"/>
      <c r="T11" s="88" t="s">
        <v>84</v>
      </c>
      <c r="U11" s="89"/>
      <c r="V11" s="88" t="s">
        <v>83</v>
      </c>
      <c r="W11" s="90"/>
      <c r="X11" s="88" t="s">
        <v>84</v>
      </c>
      <c r="Y11" s="90"/>
      <c r="Z11" s="164" t="s">
        <v>84</v>
      </c>
      <c r="AA11" s="90"/>
      <c r="AB11" s="247" t="s">
        <v>85</v>
      </c>
      <c r="AC11" s="88" t="s">
        <v>83</v>
      </c>
      <c r="AD11" s="90"/>
      <c r="AE11" s="88" t="s">
        <v>84</v>
      </c>
      <c r="AF11" s="90"/>
      <c r="AG11" s="88" t="s">
        <v>84</v>
      </c>
      <c r="AI11" s="7" t="s">
        <v>385</v>
      </c>
    </row>
    <row r="12" spans="1:35" x14ac:dyDescent="0.25">
      <c r="C12" s="82"/>
      <c r="D12" s="83"/>
      <c r="E12" s="82"/>
      <c r="F12" s="83"/>
      <c r="G12" s="82"/>
      <c r="H12" s="83"/>
      <c r="I12" s="84"/>
      <c r="J12" s="72"/>
      <c r="K12" s="82"/>
      <c r="L12" s="72"/>
      <c r="M12" s="82"/>
      <c r="N12" s="83"/>
      <c r="O12" s="84"/>
      <c r="P12" s="83"/>
      <c r="Q12" s="82"/>
      <c r="R12" s="83"/>
      <c r="S12" s="82"/>
      <c r="T12" s="83"/>
      <c r="U12" s="84"/>
      <c r="V12" s="83"/>
      <c r="W12" s="82"/>
      <c r="X12" s="83"/>
      <c r="Y12" s="82"/>
      <c r="Z12" s="83"/>
      <c r="AA12" s="84"/>
      <c r="AB12" s="90"/>
      <c r="AC12" s="83"/>
      <c r="AD12" s="82"/>
      <c r="AE12" s="83"/>
      <c r="AF12" s="82"/>
      <c r="AG12" s="83"/>
    </row>
    <row r="13" spans="1:35" x14ac:dyDescent="0.25">
      <c r="A13" s="2" t="s">
        <v>0</v>
      </c>
      <c r="C13" s="82"/>
      <c r="D13" s="83"/>
      <c r="E13" s="82"/>
      <c r="F13" s="83"/>
      <c r="G13" s="82"/>
      <c r="H13" s="83"/>
      <c r="I13" s="84"/>
      <c r="J13" s="72"/>
      <c r="K13" s="82"/>
      <c r="L13" s="72"/>
      <c r="M13" s="82"/>
      <c r="N13" s="83"/>
      <c r="O13" s="84"/>
      <c r="P13" s="83"/>
      <c r="Q13" s="82"/>
      <c r="R13" s="83"/>
      <c r="S13" s="82"/>
      <c r="T13" s="83"/>
      <c r="U13" s="84"/>
      <c r="V13" s="83"/>
      <c r="W13" s="82"/>
      <c r="X13" s="83"/>
      <c r="Y13" s="82"/>
      <c r="Z13" s="83"/>
      <c r="AA13" s="84"/>
      <c r="AB13" s="90"/>
      <c r="AC13" s="83"/>
      <c r="AD13" s="82"/>
      <c r="AE13" s="83"/>
      <c r="AF13" s="82"/>
      <c r="AG13" s="83"/>
    </row>
    <row r="14" spans="1:35" x14ac:dyDescent="0.25">
      <c r="A14" s="1" t="s">
        <v>198</v>
      </c>
      <c r="C14" s="82"/>
      <c r="D14" s="83"/>
      <c r="E14" s="82"/>
      <c r="F14" s="83"/>
      <c r="G14" s="82"/>
      <c r="H14" s="83"/>
      <c r="I14" s="84"/>
      <c r="J14" s="72"/>
      <c r="K14" s="82"/>
      <c r="L14" s="72"/>
      <c r="M14" s="82"/>
      <c r="N14" s="83"/>
      <c r="O14" s="84"/>
      <c r="P14" s="83"/>
      <c r="Q14" s="82"/>
      <c r="R14" s="83"/>
      <c r="S14" s="82"/>
      <c r="T14" s="83"/>
      <c r="U14" s="84"/>
      <c r="V14" s="83"/>
      <c r="W14" s="82"/>
      <c r="X14" s="83"/>
      <c r="Y14" s="82"/>
      <c r="Z14" s="83"/>
      <c r="AA14" s="84"/>
      <c r="AB14" s="90"/>
      <c r="AC14" s="83"/>
      <c r="AD14" s="82"/>
      <c r="AE14" s="83"/>
      <c r="AF14" s="82"/>
      <c r="AG14" s="83"/>
    </row>
    <row r="15" spans="1:35" x14ac:dyDescent="0.25">
      <c r="A15" s="1" t="s">
        <v>199</v>
      </c>
      <c r="C15" s="82"/>
      <c r="D15" s="489">
        <v>207269</v>
      </c>
      <c r="E15" s="92"/>
      <c r="F15" s="469">
        <v>13956</v>
      </c>
      <c r="G15" s="82"/>
      <c r="H15" s="91">
        <f>D15+F15</f>
        <v>221225</v>
      </c>
      <c r="I15" s="93"/>
      <c r="J15" s="473">
        <v>514606</v>
      </c>
      <c r="K15" s="92"/>
      <c r="L15" s="519">
        <v>48400</v>
      </c>
      <c r="M15" s="82"/>
      <c r="N15" s="91">
        <f>J15+L15</f>
        <v>563006</v>
      </c>
      <c r="O15" s="93"/>
      <c r="P15" s="476">
        <v>264560</v>
      </c>
      <c r="Q15" s="92"/>
      <c r="R15" s="521">
        <v>23327</v>
      </c>
      <c r="S15" s="82"/>
      <c r="T15" s="91">
        <f>P15+R15</f>
        <v>287887</v>
      </c>
      <c r="U15" s="93"/>
      <c r="V15" s="184">
        <v>0</v>
      </c>
      <c r="W15" s="92"/>
      <c r="X15" s="184">
        <v>0</v>
      </c>
      <c r="Y15" s="184"/>
      <c r="Z15" s="184">
        <f>V15+X15</f>
        <v>0</v>
      </c>
      <c r="AA15" s="93"/>
      <c r="AB15" s="91">
        <v>991450</v>
      </c>
      <c r="AC15" s="91">
        <f>D15+J15+P15+V15</f>
        <v>986435</v>
      </c>
      <c r="AD15" s="92"/>
      <c r="AE15" s="91">
        <f>F15+L15+R15+X15</f>
        <v>85683</v>
      </c>
      <c r="AF15" s="92" t="s">
        <v>19</v>
      </c>
      <c r="AG15" s="91">
        <f>H15+N15+T15+Z15</f>
        <v>1072118</v>
      </c>
      <c r="AH15" s="3"/>
      <c r="AI15" s="248">
        <f>+AG15/AB15-1</f>
        <v>8.1363659286902923E-2</v>
      </c>
    </row>
    <row r="16" spans="1:35" x14ac:dyDescent="0.25">
      <c r="A16" s="44" t="s">
        <v>502</v>
      </c>
      <c r="C16" s="82"/>
      <c r="D16" s="489"/>
      <c r="E16" s="92"/>
      <c r="F16" s="469"/>
      <c r="G16" s="82"/>
      <c r="H16" s="91"/>
      <c r="I16" s="93"/>
      <c r="J16" s="473"/>
      <c r="K16" s="92"/>
      <c r="L16" s="519"/>
      <c r="M16" s="82"/>
      <c r="N16" s="91"/>
      <c r="O16" s="93"/>
      <c r="P16" s="476"/>
      <c r="Q16" s="92"/>
      <c r="R16" s="521"/>
      <c r="S16" s="82"/>
      <c r="T16" s="91"/>
      <c r="U16" s="93"/>
      <c r="V16" s="184"/>
      <c r="W16" s="92"/>
      <c r="X16" s="184"/>
      <c r="Y16" s="184"/>
      <c r="Z16" s="184"/>
      <c r="AA16" s="93"/>
      <c r="AB16" s="587">
        <v>34000</v>
      </c>
      <c r="AC16" s="91"/>
      <c r="AD16" s="92"/>
      <c r="AE16" s="91"/>
      <c r="AF16" s="92"/>
      <c r="AG16" s="91"/>
      <c r="AH16" s="3"/>
      <c r="AI16" s="248"/>
    </row>
    <row r="17" spans="1:37" x14ac:dyDescent="0.25">
      <c r="A17" s="1" t="s">
        <v>200</v>
      </c>
      <c r="C17" s="82"/>
      <c r="D17" s="490">
        <v>400</v>
      </c>
      <c r="E17" s="174"/>
      <c r="F17" s="517">
        <v>100</v>
      </c>
      <c r="G17" s="517"/>
      <c r="H17" s="517">
        <f>D17+F17</f>
        <v>500</v>
      </c>
      <c r="I17" s="95"/>
      <c r="J17" s="471">
        <v>1400</v>
      </c>
      <c r="K17" s="94"/>
      <c r="L17" s="518">
        <v>500</v>
      </c>
      <c r="M17" s="82"/>
      <c r="N17" s="72">
        <f>J17+L17</f>
        <v>1900</v>
      </c>
      <c r="O17" s="95"/>
      <c r="P17" s="474">
        <v>600</v>
      </c>
      <c r="Q17" s="94"/>
      <c r="R17" s="523">
        <v>200</v>
      </c>
      <c r="S17" s="82"/>
      <c r="T17" s="72">
        <f>P17+R17</f>
        <v>800</v>
      </c>
      <c r="U17" s="95"/>
      <c r="V17" s="174">
        <v>0</v>
      </c>
      <c r="W17" s="185"/>
      <c r="X17" s="174">
        <v>0</v>
      </c>
      <c r="Y17" s="186"/>
      <c r="Z17" s="174">
        <f>V17+X17</f>
        <v>0</v>
      </c>
      <c r="AA17" s="95"/>
      <c r="AB17" s="72">
        <v>6100</v>
      </c>
      <c r="AC17" s="72">
        <f>D17+J17+P17+V17</f>
        <v>2400</v>
      </c>
      <c r="AD17" s="94"/>
      <c r="AE17" s="587">
        <f>F17+L17+R17+X17</f>
        <v>800</v>
      </c>
      <c r="AF17" s="94" t="s">
        <v>19</v>
      </c>
      <c r="AG17" s="72">
        <f>H17+N17+T17+Z17</f>
        <v>3200</v>
      </c>
      <c r="AH17" s="4"/>
      <c r="AI17" s="248">
        <f>+AG17/AB17-1</f>
        <v>-0.47540983606557374</v>
      </c>
    </row>
    <row r="18" spans="1:37" ht="18" x14ac:dyDescent="0.4">
      <c r="A18" s="1" t="s">
        <v>5</v>
      </c>
      <c r="C18" s="82"/>
      <c r="D18" s="488">
        <v>9873</v>
      </c>
      <c r="E18" s="82"/>
      <c r="F18" s="470">
        <v>1085</v>
      </c>
      <c r="G18" s="82"/>
      <c r="H18" s="116">
        <f>D18+F18</f>
        <v>10958</v>
      </c>
      <c r="I18" s="95"/>
      <c r="J18" s="472">
        <v>19747</v>
      </c>
      <c r="K18" s="94"/>
      <c r="L18" s="520">
        <v>2169</v>
      </c>
      <c r="M18" s="82"/>
      <c r="N18" s="116">
        <f>J18+L18</f>
        <v>21916</v>
      </c>
      <c r="O18" s="95"/>
      <c r="P18" s="475">
        <v>9873</v>
      </c>
      <c r="Q18" s="94"/>
      <c r="R18" s="522">
        <v>1085</v>
      </c>
      <c r="S18" s="82"/>
      <c r="T18" s="116">
        <f>P18+R18</f>
        <v>10958</v>
      </c>
      <c r="U18" s="95"/>
      <c r="V18" s="172">
        <v>0</v>
      </c>
      <c r="W18" s="185"/>
      <c r="X18" s="172">
        <v>0</v>
      </c>
      <c r="Y18" s="186"/>
      <c r="Z18" s="172">
        <f>V18+X18</f>
        <v>0</v>
      </c>
      <c r="AA18" s="95"/>
      <c r="AB18" s="75">
        <v>55040</v>
      </c>
      <c r="AC18" s="75">
        <f>D18+J18+P18+V18</f>
        <v>39493</v>
      </c>
      <c r="AD18" s="94"/>
      <c r="AE18" s="75">
        <f>F18+L18+R18+X18</f>
        <v>4339</v>
      </c>
      <c r="AF18" s="94" t="s">
        <v>19</v>
      </c>
      <c r="AG18" s="116">
        <f>H18+N18+T18+Z18</f>
        <v>43832</v>
      </c>
      <c r="AH18" s="4"/>
      <c r="AI18" s="318">
        <f>+AG18/AB18-1</f>
        <v>-0.20363372093023258</v>
      </c>
    </row>
    <row r="19" spans="1:37" ht="18" x14ac:dyDescent="0.4">
      <c r="A19" s="1" t="s">
        <v>168</v>
      </c>
      <c r="C19" s="82"/>
      <c r="D19" s="75">
        <f>SUM(D15:D18)</f>
        <v>217542</v>
      </c>
      <c r="E19" s="82"/>
      <c r="F19" s="75">
        <f>SUM(F15:F18)</f>
        <v>15141</v>
      </c>
      <c r="G19" s="82"/>
      <c r="H19" s="75">
        <f>SUM(H15:H18)</f>
        <v>232683</v>
      </c>
      <c r="I19" s="95"/>
      <c r="J19" s="75">
        <f>SUM(J15:J18)</f>
        <v>535753</v>
      </c>
      <c r="K19" s="94"/>
      <c r="L19" s="75">
        <f>SUM(L15:L18)</f>
        <v>51069</v>
      </c>
      <c r="M19" s="82"/>
      <c r="N19" s="75">
        <f>SUM(N15:N18)</f>
        <v>586822</v>
      </c>
      <c r="O19" s="95"/>
      <c r="P19" s="75">
        <f>SUM(P15:P18)</f>
        <v>275033</v>
      </c>
      <c r="Q19" s="94"/>
      <c r="R19" s="75">
        <f>SUM(R15:R18)</f>
        <v>24612</v>
      </c>
      <c r="S19" s="82"/>
      <c r="T19" s="75">
        <f>SUM(T15:T18)</f>
        <v>299645</v>
      </c>
      <c r="U19" s="95"/>
      <c r="V19" s="172">
        <f>SUM(V15:V18)</f>
        <v>0</v>
      </c>
      <c r="W19" s="185"/>
      <c r="X19" s="172">
        <f>SUM(X15:X18)</f>
        <v>0</v>
      </c>
      <c r="Y19" s="186"/>
      <c r="Z19" s="172">
        <f>SUM(Z15:Z18)</f>
        <v>0</v>
      </c>
      <c r="AA19" s="95"/>
      <c r="AB19" s="75">
        <f>SUM(AB15:AB18)</f>
        <v>1086590</v>
      </c>
      <c r="AC19" s="75">
        <f>SUM(AC15:AC18)</f>
        <v>1028328</v>
      </c>
      <c r="AD19" s="94"/>
      <c r="AE19" s="75">
        <f>SUM(AE15:AE18)</f>
        <v>90822</v>
      </c>
      <c r="AF19" s="94"/>
      <c r="AG19" s="75">
        <f>SUM(AG15:AG18)</f>
        <v>1119150</v>
      </c>
      <c r="AH19" s="4"/>
      <c r="AI19" s="318">
        <f>+AG19/AB19-1</f>
        <v>2.9965304300610063E-2</v>
      </c>
    </row>
    <row r="20" spans="1:37" x14ac:dyDescent="0.25">
      <c r="C20" s="82"/>
      <c r="D20" s="72"/>
      <c r="E20" s="82"/>
      <c r="F20" s="72"/>
      <c r="G20" s="82"/>
      <c r="H20" s="72"/>
      <c r="I20" s="95"/>
      <c r="J20" s="72"/>
      <c r="K20" s="94"/>
      <c r="L20" s="72"/>
      <c r="M20" s="82"/>
      <c r="N20" s="72"/>
      <c r="O20" s="95"/>
      <c r="P20" s="72"/>
      <c r="Q20" s="94"/>
      <c r="R20" s="72"/>
      <c r="S20" s="82"/>
      <c r="T20" s="72"/>
      <c r="U20" s="95"/>
      <c r="V20" s="72"/>
      <c r="W20" s="94"/>
      <c r="X20" s="72"/>
      <c r="Y20" s="82"/>
      <c r="Z20" s="72"/>
      <c r="AA20" s="95"/>
      <c r="AB20" s="97"/>
      <c r="AC20" s="72"/>
      <c r="AD20" s="94"/>
      <c r="AE20" s="72"/>
      <c r="AF20" s="94"/>
      <c r="AG20" s="72"/>
      <c r="AH20" s="4"/>
    </row>
    <row r="21" spans="1:37" x14ac:dyDescent="0.25">
      <c r="A21" s="2" t="s">
        <v>178</v>
      </c>
      <c r="C21" s="82"/>
      <c r="D21" s="83"/>
      <c r="E21" s="82"/>
      <c r="F21" s="72"/>
      <c r="G21" s="82"/>
      <c r="H21" s="72"/>
      <c r="I21" s="95"/>
      <c r="J21" s="72"/>
      <c r="K21" s="94"/>
      <c r="L21" s="72"/>
      <c r="M21" s="82"/>
      <c r="N21" s="72"/>
      <c r="O21" s="95"/>
      <c r="P21" s="72"/>
      <c r="Q21" s="94"/>
      <c r="R21" s="72"/>
      <c r="S21" s="82"/>
      <c r="T21" s="72"/>
      <c r="U21" s="95"/>
      <c r="V21" s="72"/>
      <c r="W21" s="94"/>
      <c r="X21" s="72"/>
      <c r="Y21" s="82"/>
      <c r="Z21" s="72"/>
      <c r="AA21" s="95"/>
      <c r="AB21" s="97"/>
      <c r="AC21" s="72"/>
      <c r="AD21" s="94"/>
      <c r="AE21" s="72"/>
      <c r="AF21" s="94"/>
      <c r="AG21" s="72"/>
      <c r="AH21" s="4"/>
    </row>
    <row r="22" spans="1:37" s="37" customFormat="1" x14ac:dyDescent="0.25">
      <c r="A22" s="37" t="s">
        <v>179</v>
      </c>
      <c r="C22" s="96"/>
      <c r="D22" s="484">
        <v>48767</v>
      </c>
      <c r="E22" s="90"/>
      <c r="F22" s="477">
        <v>12796</v>
      </c>
      <c r="G22" s="90"/>
      <c r="H22" s="478">
        <f>D22+F22</f>
        <v>61563</v>
      </c>
      <c r="I22" s="95"/>
      <c r="J22" s="492">
        <v>62067</v>
      </c>
      <c r="K22" s="97"/>
      <c r="L22" s="495">
        <v>16286</v>
      </c>
      <c r="M22" s="90"/>
      <c r="N22" s="73">
        <f t="shared" ref="N22:N43" si="0">J22+L22</f>
        <v>78353</v>
      </c>
      <c r="O22" s="95"/>
      <c r="P22" s="501">
        <v>36945</v>
      </c>
      <c r="Q22" s="97"/>
      <c r="R22" s="505">
        <v>9694</v>
      </c>
      <c r="S22" s="90"/>
      <c r="T22" s="73">
        <f t="shared" ref="T22:T43" si="1">P22+R22</f>
        <v>46639</v>
      </c>
      <c r="U22" s="95"/>
      <c r="V22" s="511">
        <v>0</v>
      </c>
      <c r="W22" s="174"/>
      <c r="X22" s="516">
        <v>0</v>
      </c>
      <c r="Y22" s="174"/>
      <c r="Z22" s="174">
        <f t="shared" ref="Z22:Z43" si="2">V22+X22</f>
        <v>0</v>
      </c>
      <c r="AA22" s="95"/>
      <c r="AB22" s="73">
        <v>186790</v>
      </c>
      <c r="AC22" s="73">
        <f t="shared" ref="AC22:AC42" si="3">D22+J22+P22+V22</f>
        <v>147779</v>
      </c>
      <c r="AD22" s="97"/>
      <c r="AE22" s="73">
        <f t="shared" ref="AE22:AE42" si="4">F22+L22+R22+X22</f>
        <v>38776</v>
      </c>
      <c r="AF22" s="97"/>
      <c r="AG22" s="73">
        <f t="shared" ref="AG22:AG42" si="5">H22+N22+T22+Z22</f>
        <v>186555</v>
      </c>
      <c r="AH22" s="63"/>
      <c r="AI22" s="248">
        <f t="shared" ref="AI22:AI44" si="6">+AG22/AB22-1</f>
        <v>-1.2580973285507557E-3</v>
      </c>
    </row>
    <row r="23" spans="1:37" s="548" customFormat="1" x14ac:dyDescent="0.25">
      <c r="A23" s="548" t="s">
        <v>565</v>
      </c>
      <c r="C23" s="96"/>
      <c r="D23" s="558">
        <v>0</v>
      </c>
      <c r="E23" s="90"/>
      <c r="F23" s="587">
        <v>0</v>
      </c>
      <c r="G23" s="90"/>
      <c r="H23" s="558">
        <f>D23+F23</f>
        <v>0</v>
      </c>
      <c r="I23" s="552"/>
      <c r="J23" s="558">
        <v>0</v>
      </c>
      <c r="K23" s="97"/>
      <c r="L23" s="587">
        <v>0</v>
      </c>
      <c r="M23" s="90"/>
      <c r="N23" s="558">
        <f t="shared" si="0"/>
        <v>0</v>
      </c>
      <c r="O23" s="552"/>
      <c r="P23" s="558">
        <v>0</v>
      </c>
      <c r="Q23" s="97"/>
      <c r="R23" s="587"/>
      <c r="S23" s="90"/>
      <c r="T23" s="558">
        <f t="shared" si="1"/>
        <v>0</v>
      </c>
      <c r="U23" s="552"/>
      <c r="V23" s="589">
        <v>0</v>
      </c>
      <c r="W23" s="589"/>
      <c r="X23" s="589">
        <v>0</v>
      </c>
      <c r="Y23" s="589"/>
      <c r="Z23" s="589">
        <f t="shared" si="2"/>
        <v>0</v>
      </c>
      <c r="AA23" s="552"/>
      <c r="AB23" s="558">
        <v>10760</v>
      </c>
      <c r="AC23" s="558">
        <f t="shared" si="3"/>
        <v>0</v>
      </c>
      <c r="AD23" s="97">
        <v>0</v>
      </c>
      <c r="AE23" s="558">
        <f t="shared" si="4"/>
        <v>0</v>
      </c>
      <c r="AF23" s="97"/>
      <c r="AG23" s="558">
        <f t="shared" si="5"/>
        <v>0</v>
      </c>
      <c r="AH23" s="63"/>
      <c r="AI23" s="248">
        <f t="shared" si="6"/>
        <v>-1</v>
      </c>
    </row>
    <row r="24" spans="1:37" s="37" customFormat="1" x14ac:dyDescent="0.25">
      <c r="A24" s="37" t="s">
        <v>180</v>
      </c>
      <c r="C24" s="96"/>
      <c r="D24" s="484">
        <v>3674</v>
      </c>
      <c r="E24" s="90"/>
      <c r="F24" s="477">
        <v>961</v>
      </c>
      <c r="G24" s="90"/>
      <c r="H24" s="478">
        <f t="shared" ref="H24:H43" si="7">D24+F24</f>
        <v>4635</v>
      </c>
      <c r="I24" s="95"/>
      <c r="J24" s="492">
        <v>4676</v>
      </c>
      <c r="K24" s="97"/>
      <c r="L24" s="495">
        <v>1223</v>
      </c>
      <c r="M24" s="90"/>
      <c r="N24" s="73">
        <f t="shared" si="0"/>
        <v>5899</v>
      </c>
      <c r="O24" s="95"/>
      <c r="P24" s="501">
        <v>2784</v>
      </c>
      <c r="Q24" s="97"/>
      <c r="R24" s="505">
        <v>728</v>
      </c>
      <c r="S24" s="90"/>
      <c r="T24" s="73">
        <f t="shared" si="1"/>
        <v>3512</v>
      </c>
      <c r="U24" s="95"/>
      <c r="V24" s="511">
        <v>0</v>
      </c>
      <c r="W24" s="174"/>
      <c r="X24" s="516">
        <v>0</v>
      </c>
      <c r="Y24" s="174"/>
      <c r="Z24" s="174">
        <f t="shared" si="2"/>
        <v>0</v>
      </c>
      <c r="AA24" s="95"/>
      <c r="AB24" s="73">
        <v>14080</v>
      </c>
      <c r="AC24" s="73">
        <f t="shared" si="3"/>
        <v>11134</v>
      </c>
      <c r="AD24" s="97"/>
      <c r="AE24" s="73">
        <f t="shared" si="4"/>
        <v>2912</v>
      </c>
      <c r="AF24" s="97"/>
      <c r="AG24" s="73">
        <f t="shared" si="5"/>
        <v>14046</v>
      </c>
      <c r="AH24" s="63"/>
      <c r="AI24" s="248">
        <f t="shared" si="6"/>
        <v>-2.4147727272727515E-3</v>
      </c>
      <c r="AK24" s="39"/>
    </row>
    <row r="25" spans="1:37" s="37" customFormat="1" x14ac:dyDescent="0.25">
      <c r="A25" s="37" t="s">
        <v>181</v>
      </c>
      <c r="C25" s="96"/>
      <c r="D25" s="484">
        <v>7754</v>
      </c>
      <c r="E25" s="90"/>
      <c r="F25" s="477">
        <v>1731</v>
      </c>
      <c r="G25" s="90"/>
      <c r="H25" s="478">
        <f t="shared" si="7"/>
        <v>9485</v>
      </c>
      <c r="I25" s="95"/>
      <c r="J25" s="492">
        <v>13384</v>
      </c>
      <c r="K25" s="97"/>
      <c r="L25" s="495">
        <v>3463</v>
      </c>
      <c r="M25" s="90"/>
      <c r="N25" s="73">
        <f t="shared" si="0"/>
        <v>16847</v>
      </c>
      <c r="O25" s="95"/>
      <c r="P25" s="501">
        <v>6490</v>
      </c>
      <c r="Q25" s="97"/>
      <c r="R25" s="505">
        <v>1731</v>
      </c>
      <c r="S25" s="90"/>
      <c r="T25" s="73">
        <f t="shared" si="1"/>
        <v>8221</v>
      </c>
      <c r="U25" s="95"/>
      <c r="V25" s="511">
        <v>0</v>
      </c>
      <c r="W25" s="174"/>
      <c r="X25" s="516">
        <v>0</v>
      </c>
      <c r="Y25" s="174"/>
      <c r="Z25" s="174">
        <f t="shared" si="2"/>
        <v>0</v>
      </c>
      <c r="AA25" s="95"/>
      <c r="AB25" s="73">
        <v>35980</v>
      </c>
      <c r="AC25" s="73">
        <f t="shared" si="3"/>
        <v>27628</v>
      </c>
      <c r="AD25" s="97"/>
      <c r="AE25" s="73">
        <f t="shared" si="4"/>
        <v>6925</v>
      </c>
      <c r="AF25" s="97"/>
      <c r="AG25" s="73">
        <f t="shared" si="5"/>
        <v>34553</v>
      </c>
      <c r="AH25" s="63"/>
      <c r="AI25" s="248">
        <f t="shared" si="6"/>
        <v>-3.9660922734852666E-2</v>
      </c>
    </row>
    <row r="26" spans="1:37" s="37" customFormat="1" x14ac:dyDescent="0.25">
      <c r="A26" s="37" t="s">
        <v>182</v>
      </c>
      <c r="C26" s="90"/>
      <c r="D26" s="484">
        <v>59320</v>
      </c>
      <c r="E26" s="90"/>
      <c r="F26" s="478">
        <v>12645</v>
      </c>
      <c r="G26" s="90"/>
      <c r="H26" s="478">
        <f t="shared" si="7"/>
        <v>71965</v>
      </c>
      <c r="I26" s="95"/>
      <c r="J26" s="494">
        <v>0</v>
      </c>
      <c r="K26" s="174"/>
      <c r="L26" s="498">
        <v>0</v>
      </c>
      <c r="M26" s="174"/>
      <c r="N26" s="174">
        <f t="shared" si="0"/>
        <v>0</v>
      </c>
      <c r="O26" s="95"/>
      <c r="P26" s="503">
        <v>0</v>
      </c>
      <c r="Q26" s="174"/>
      <c r="R26" s="507">
        <v>0</v>
      </c>
      <c r="S26" s="174"/>
      <c r="T26" s="174">
        <f t="shared" si="1"/>
        <v>0</v>
      </c>
      <c r="U26" s="95"/>
      <c r="V26" s="511">
        <v>0</v>
      </c>
      <c r="W26" s="174"/>
      <c r="X26" s="516">
        <v>0</v>
      </c>
      <c r="Y26" s="174"/>
      <c r="Z26" s="174">
        <f t="shared" si="2"/>
        <v>0</v>
      </c>
      <c r="AA26" s="95"/>
      <c r="AB26" s="73">
        <v>65500</v>
      </c>
      <c r="AC26" s="73">
        <f t="shared" si="3"/>
        <v>59320</v>
      </c>
      <c r="AD26" s="97"/>
      <c r="AE26" s="73">
        <f t="shared" si="4"/>
        <v>12645</v>
      </c>
      <c r="AF26" s="97"/>
      <c r="AG26" s="73">
        <f t="shared" si="5"/>
        <v>71965</v>
      </c>
      <c r="AH26" s="63"/>
      <c r="AI26" s="248">
        <f t="shared" si="6"/>
        <v>9.8702290076335908E-2</v>
      </c>
    </row>
    <row r="27" spans="1:37" s="257" customFormat="1" x14ac:dyDescent="0.25">
      <c r="A27" s="90" t="s">
        <v>201</v>
      </c>
      <c r="B27" s="90"/>
      <c r="C27" s="90"/>
      <c r="D27" s="484">
        <v>2915</v>
      </c>
      <c r="E27" s="90"/>
      <c r="F27" s="482">
        <v>600</v>
      </c>
      <c r="G27" s="90"/>
      <c r="H27" s="478">
        <f t="shared" si="7"/>
        <v>3515</v>
      </c>
      <c r="I27" s="95"/>
      <c r="J27" s="491">
        <v>178534</v>
      </c>
      <c r="K27" s="97"/>
      <c r="L27" s="495">
        <v>10100</v>
      </c>
      <c r="M27" s="90"/>
      <c r="N27" s="73">
        <f t="shared" si="0"/>
        <v>188634</v>
      </c>
      <c r="O27" s="95"/>
      <c r="P27" s="500">
        <v>63900</v>
      </c>
      <c r="Q27" s="97"/>
      <c r="R27" s="505">
        <v>3104</v>
      </c>
      <c r="S27" s="90"/>
      <c r="T27" s="73">
        <f t="shared" si="1"/>
        <v>67004</v>
      </c>
      <c r="U27" s="95"/>
      <c r="V27" s="512">
        <v>954</v>
      </c>
      <c r="W27" s="174"/>
      <c r="X27" s="517">
        <v>100</v>
      </c>
      <c r="Y27" s="174"/>
      <c r="Z27" s="254">
        <f t="shared" si="2"/>
        <v>1054</v>
      </c>
      <c r="AA27" s="95"/>
      <c r="AB27" s="73">
        <v>120900</v>
      </c>
      <c r="AC27" s="73">
        <f t="shared" si="3"/>
        <v>246303</v>
      </c>
      <c r="AD27" s="97"/>
      <c r="AE27" s="73">
        <f t="shared" si="4"/>
        <v>13904</v>
      </c>
      <c r="AF27" s="97"/>
      <c r="AG27" s="73">
        <f t="shared" si="5"/>
        <v>260207</v>
      </c>
      <c r="AH27" s="97"/>
      <c r="AI27" s="282">
        <f t="shared" si="6"/>
        <v>1.1522497932175351</v>
      </c>
    </row>
    <row r="28" spans="1:37" s="37" customFormat="1" x14ac:dyDescent="0.25">
      <c r="A28" s="37" t="s">
        <v>183</v>
      </c>
      <c r="C28" s="90"/>
      <c r="D28" s="486">
        <v>0</v>
      </c>
      <c r="E28" s="174"/>
      <c r="F28" s="481">
        <v>0</v>
      </c>
      <c r="G28" s="174"/>
      <c r="H28" s="481">
        <f t="shared" si="7"/>
        <v>0</v>
      </c>
      <c r="I28" s="95"/>
      <c r="J28" s="491">
        <v>42381</v>
      </c>
      <c r="K28" s="97"/>
      <c r="L28" s="495">
        <v>9268</v>
      </c>
      <c r="M28" s="90"/>
      <c r="N28" s="73">
        <f t="shared" si="0"/>
        <v>51649</v>
      </c>
      <c r="O28" s="95"/>
      <c r="P28" s="501">
        <v>4257</v>
      </c>
      <c r="Q28" s="97"/>
      <c r="R28" s="505">
        <v>710</v>
      </c>
      <c r="S28" s="90"/>
      <c r="T28" s="73">
        <f t="shared" si="1"/>
        <v>4967</v>
      </c>
      <c r="U28" s="95"/>
      <c r="V28" s="511">
        <v>0</v>
      </c>
      <c r="W28" s="174"/>
      <c r="X28" s="516">
        <v>0</v>
      </c>
      <c r="Y28" s="174"/>
      <c r="Z28" s="174">
        <f t="shared" si="2"/>
        <v>0</v>
      </c>
      <c r="AA28" s="95"/>
      <c r="AB28" s="73">
        <v>89800</v>
      </c>
      <c r="AC28" s="73">
        <f t="shared" si="3"/>
        <v>46638</v>
      </c>
      <c r="AD28" s="97"/>
      <c r="AE28" s="517">
        <f t="shared" si="4"/>
        <v>9978</v>
      </c>
      <c r="AF28" s="97"/>
      <c r="AG28" s="73">
        <f t="shared" si="5"/>
        <v>56616</v>
      </c>
      <c r="AH28" s="63"/>
      <c r="AI28" s="248">
        <f t="shared" si="6"/>
        <v>-0.36953229398663701</v>
      </c>
    </row>
    <row r="29" spans="1:37" s="37" customFormat="1" x14ac:dyDescent="0.25">
      <c r="A29" s="37" t="s">
        <v>475</v>
      </c>
      <c r="C29" s="90"/>
      <c r="D29" s="486">
        <v>0</v>
      </c>
      <c r="E29" s="90"/>
      <c r="F29" s="481">
        <v>0</v>
      </c>
      <c r="G29" s="174"/>
      <c r="H29" s="481">
        <f t="shared" si="7"/>
        <v>0</v>
      </c>
      <c r="I29" s="95"/>
      <c r="J29" s="491">
        <v>10000</v>
      </c>
      <c r="K29" s="97" t="s">
        <v>19</v>
      </c>
      <c r="L29" s="495">
        <v>2000</v>
      </c>
      <c r="M29" s="90"/>
      <c r="N29" s="73" t="s">
        <v>19</v>
      </c>
      <c r="O29" s="95"/>
      <c r="P29" s="501">
        <v>13355</v>
      </c>
      <c r="Q29" s="174"/>
      <c r="R29" s="508">
        <v>2598</v>
      </c>
      <c r="S29" s="174"/>
      <c r="T29" s="73">
        <f t="shared" si="1"/>
        <v>15953</v>
      </c>
      <c r="U29" s="95"/>
      <c r="V29" s="511">
        <v>0</v>
      </c>
      <c r="W29" s="174"/>
      <c r="X29" s="516">
        <v>0</v>
      </c>
      <c r="Y29" s="174"/>
      <c r="Z29" s="174">
        <f t="shared" si="2"/>
        <v>0</v>
      </c>
      <c r="AA29" s="95"/>
      <c r="AB29" s="73">
        <v>33400</v>
      </c>
      <c r="AC29" s="73">
        <f t="shared" si="3"/>
        <v>23355</v>
      </c>
      <c r="AD29" s="97"/>
      <c r="AE29" s="517">
        <f t="shared" si="4"/>
        <v>4598</v>
      </c>
      <c r="AF29" s="97"/>
      <c r="AG29" s="73">
        <f t="shared" si="5"/>
        <v>15953</v>
      </c>
      <c r="AH29" s="63"/>
      <c r="AI29" s="248">
        <f t="shared" si="6"/>
        <v>-0.52236526946107786</v>
      </c>
    </row>
    <row r="30" spans="1:37" s="37" customFormat="1" x14ac:dyDescent="0.25">
      <c r="A30" s="37" t="s">
        <v>202</v>
      </c>
      <c r="C30" s="90"/>
      <c r="D30" s="486">
        <v>0</v>
      </c>
      <c r="E30" s="90"/>
      <c r="F30" s="481">
        <v>0</v>
      </c>
      <c r="G30" s="174"/>
      <c r="H30" s="481">
        <f t="shared" si="7"/>
        <v>0</v>
      </c>
      <c r="I30" s="95"/>
      <c r="J30" s="494">
        <v>0</v>
      </c>
      <c r="K30" s="97"/>
      <c r="L30" s="498">
        <v>0</v>
      </c>
      <c r="M30" s="174"/>
      <c r="N30" s="174">
        <f t="shared" si="0"/>
        <v>0</v>
      </c>
      <c r="O30" s="95"/>
      <c r="P30" s="503">
        <v>0</v>
      </c>
      <c r="Q30" s="174"/>
      <c r="R30" s="507">
        <v>0</v>
      </c>
      <c r="S30" s="174"/>
      <c r="T30" s="174">
        <f t="shared" si="1"/>
        <v>0</v>
      </c>
      <c r="U30" s="95"/>
      <c r="V30" s="509">
        <v>1029</v>
      </c>
      <c r="W30" s="97"/>
      <c r="X30" s="513">
        <v>120</v>
      </c>
      <c r="Y30" s="90"/>
      <c r="Z30" s="73">
        <f t="shared" si="2"/>
        <v>1149</v>
      </c>
      <c r="AA30" s="95"/>
      <c r="AB30" s="73">
        <v>2900</v>
      </c>
      <c r="AC30" s="73">
        <f t="shared" si="3"/>
        <v>1029</v>
      </c>
      <c r="AD30" s="97"/>
      <c r="AE30" s="517">
        <f t="shared" si="4"/>
        <v>120</v>
      </c>
      <c r="AF30" s="97"/>
      <c r="AG30" s="73">
        <f t="shared" si="5"/>
        <v>1149</v>
      </c>
      <c r="AH30" s="63"/>
      <c r="AI30" s="248">
        <f t="shared" si="6"/>
        <v>-0.60379310344827586</v>
      </c>
    </row>
    <row r="31" spans="1:37" s="37" customFormat="1" x14ac:dyDescent="0.25">
      <c r="A31" s="37" t="s">
        <v>203</v>
      </c>
      <c r="C31" s="90"/>
      <c r="D31" s="486">
        <v>0</v>
      </c>
      <c r="E31" s="90"/>
      <c r="F31" s="481">
        <v>0</v>
      </c>
      <c r="G31" s="174"/>
      <c r="H31" s="481">
        <f t="shared" si="7"/>
        <v>0</v>
      </c>
      <c r="I31" s="95"/>
      <c r="J31" s="494">
        <v>0</v>
      </c>
      <c r="K31" s="97"/>
      <c r="L31" s="498">
        <v>0</v>
      </c>
      <c r="M31" s="174"/>
      <c r="N31" s="174">
        <f t="shared" si="0"/>
        <v>0</v>
      </c>
      <c r="O31" s="95"/>
      <c r="P31" s="503">
        <v>0</v>
      </c>
      <c r="Q31" s="174"/>
      <c r="R31" s="507">
        <v>0</v>
      </c>
      <c r="S31" s="174"/>
      <c r="T31" s="174">
        <v>0</v>
      </c>
      <c r="U31" s="95"/>
      <c r="V31" s="509">
        <v>145</v>
      </c>
      <c r="W31" s="97"/>
      <c r="X31" s="558">
        <v>690</v>
      </c>
      <c r="Y31" s="90"/>
      <c r="Z31" s="73">
        <f t="shared" si="2"/>
        <v>835</v>
      </c>
      <c r="AA31" s="95"/>
      <c r="AB31" s="73">
        <v>700</v>
      </c>
      <c r="AC31" s="73">
        <f t="shared" si="3"/>
        <v>145</v>
      </c>
      <c r="AD31" s="97"/>
      <c r="AE31" s="517">
        <f t="shared" si="4"/>
        <v>690</v>
      </c>
      <c r="AF31" s="97"/>
      <c r="AG31" s="73">
        <f t="shared" si="5"/>
        <v>835</v>
      </c>
      <c r="AH31" s="63"/>
      <c r="AI31" s="248">
        <f t="shared" si="6"/>
        <v>0.19285714285714284</v>
      </c>
    </row>
    <row r="32" spans="1:37" s="37" customFormat="1" x14ac:dyDescent="0.25">
      <c r="A32" s="37" t="s">
        <v>184</v>
      </c>
      <c r="C32" s="90"/>
      <c r="D32" s="486">
        <v>0</v>
      </c>
      <c r="E32" s="90"/>
      <c r="F32" s="481">
        <v>0</v>
      </c>
      <c r="G32" s="174"/>
      <c r="H32" s="481">
        <f t="shared" si="7"/>
        <v>0</v>
      </c>
      <c r="I32" s="95"/>
      <c r="J32" s="494">
        <v>0</v>
      </c>
      <c r="K32" s="97"/>
      <c r="L32" s="498">
        <v>0</v>
      </c>
      <c r="M32" s="174"/>
      <c r="N32" s="174">
        <f t="shared" si="0"/>
        <v>0</v>
      </c>
      <c r="O32" s="95"/>
      <c r="P32" s="503">
        <v>0</v>
      </c>
      <c r="Q32" s="174"/>
      <c r="R32" s="507">
        <v>0</v>
      </c>
      <c r="S32" s="174"/>
      <c r="T32" s="174">
        <f t="shared" si="1"/>
        <v>0</v>
      </c>
      <c r="U32" s="95"/>
      <c r="V32" s="509">
        <v>12246</v>
      </c>
      <c r="W32" s="97"/>
      <c r="X32" s="513">
        <v>2125</v>
      </c>
      <c r="Y32" s="90"/>
      <c r="Z32" s="73">
        <f t="shared" si="2"/>
        <v>14371</v>
      </c>
      <c r="AA32" s="95"/>
      <c r="AB32" s="73">
        <v>18100</v>
      </c>
      <c r="AC32" s="73">
        <f t="shared" si="3"/>
        <v>12246</v>
      </c>
      <c r="AD32" s="97"/>
      <c r="AE32" s="517">
        <f t="shared" si="4"/>
        <v>2125</v>
      </c>
      <c r="AF32" s="97"/>
      <c r="AG32" s="73">
        <f t="shared" si="5"/>
        <v>14371</v>
      </c>
      <c r="AH32" s="63"/>
      <c r="AI32" s="248">
        <f t="shared" si="6"/>
        <v>-0.20602209944751382</v>
      </c>
    </row>
    <row r="33" spans="1:35" s="37" customFormat="1" x14ac:dyDescent="0.25">
      <c r="A33" s="37" t="s">
        <v>185</v>
      </c>
      <c r="C33" s="90"/>
      <c r="D33" s="486">
        <v>0</v>
      </c>
      <c r="E33" s="90"/>
      <c r="F33" s="481">
        <v>0</v>
      </c>
      <c r="G33" s="174"/>
      <c r="H33" s="481">
        <f t="shared" si="7"/>
        <v>0</v>
      </c>
      <c r="I33" s="95"/>
      <c r="J33" s="491">
        <v>24637</v>
      </c>
      <c r="K33" s="97"/>
      <c r="L33" s="495">
        <v>6902</v>
      </c>
      <c r="M33" s="90"/>
      <c r="N33" s="73">
        <f t="shared" si="0"/>
        <v>31539</v>
      </c>
      <c r="O33" s="95"/>
      <c r="P33" s="501">
        <v>34244</v>
      </c>
      <c r="Q33" s="97"/>
      <c r="R33" s="505">
        <v>5704</v>
      </c>
      <c r="S33" s="90"/>
      <c r="T33" s="73">
        <f t="shared" si="1"/>
        <v>39948</v>
      </c>
      <c r="U33" s="95"/>
      <c r="V33" s="509">
        <v>2086</v>
      </c>
      <c r="W33" s="97"/>
      <c r="X33" s="513">
        <v>560</v>
      </c>
      <c r="Y33" s="90"/>
      <c r="Z33" s="73">
        <f t="shared" si="2"/>
        <v>2646</v>
      </c>
      <c r="AA33" s="95"/>
      <c r="AB33" s="73">
        <v>70265</v>
      </c>
      <c r="AC33" s="73">
        <f t="shared" si="3"/>
        <v>60967</v>
      </c>
      <c r="AD33" s="97"/>
      <c r="AE33" s="517">
        <f t="shared" si="4"/>
        <v>13166</v>
      </c>
      <c r="AF33" s="97"/>
      <c r="AG33" s="73">
        <f t="shared" si="5"/>
        <v>74133</v>
      </c>
      <c r="AH33" s="63"/>
      <c r="AI33" s="248">
        <f t="shared" si="6"/>
        <v>5.5048744040418374E-2</v>
      </c>
    </row>
    <row r="34" spans="1:35" s="37" customFormat="1" x14ac:dyDescent="0.25">
      <c r="A34" s="37" t="s">
        <v>186</v>
      </c>
      <c r="C34" s="90"/>
      <c r="D34" s="486">
        <v>0</v>
      </c>
      <c r="E34" s="90"/>
      <c r="F34" s="481">
        <v>0</v>
      </c>
      <c r="G34" s="174"/>
      <c r="H34" s="481">
        <f t="shared" si="7"/>
        <v>0</v>
      </c>
      <c r="I34" s="95"/>
      <c r="J34" s="492">
        <v>1818</v>
      </c>
      <c r="K34" s="97"/>
      <c r="L34" s="495">
        <v>330</v>
      </c>
      <c r="M34" s="90"/>
      <c r="N34" s="73">
        <f t="shared" si="0"/>
        <v>2148</v>
      </c>
      <c r="O34" s="95"/>
      <c r="P34" s="501">
        <v>2659</v>
      </c>
      <c r="Q34" s="97"/>
      <c r="R34" s="505">
        <v>80</v>
      </c>
      <c r="S34" s="90"/>
      <c r="T34" s="73">
        <f t="shared" si="1"/>
        <v>2739</v>
      </c>
      <c r="U34" s="95"/>
      <c r="V34" s="509">
        <v>17827</v>
      </c>
      <c r="W34" s="97"/>
      <c r="X34" s="513">
        <v>2814</v>
      </c>
      <c r="Y34" s="90"/>
      <c r="Z34" s="73">
        <f t="shared" si="2"/>
        <v>20641</v>
      </c>
      <c r="AA34" s="95"/>
      <c r="AB34" s="73">
        <v>29310</v>
      </c>
      <c r="AC34" s="73">
        <f t="shared" si="3"/>
        <v>22304</v>
      </c>
      <c r="AD34" s="97"/>
      <c r="AE34" s="517">
        <f t="shared" si="4"/>
        <v>3224</v>
      </c>
      <c r="AF34" s="97"/>
      <c r="AG34" s="73">
        <f t="shared" si="5"/>
        <v>25528</v>
      </c>
      <c r="AH34" s="63"/>
      <c r="AI34" s="248">
        <f t="shared" si="6"/>
        <v>-0.12903445922893209</v>
      </c>
    </row>
    <row r="35" spans="1:35" s="37" customFormat="1" x14ac:dyDescent="0.25">
      <c r="A35" s="37" t="s">
        <v>187</v>
      </c>
      <c r="C35" s="90"/>
      <c r="D35" s="486">
        <v>0</v>
      </c>
      <c r="E35" s="90"/>
      <c r="F35" s="481">
        <v>0</v>
      </c>
      <c r="G35" s="174"/>
      <c r="H35" s="481">
        <f t="shared" si="7"/>
        <v>0</v>
      </c>
      <c r="I35" s="95"/>
      <c r="J35" s="494">
        <v>0</v>
      </c>
      <c r="K35" s="97"/>
      <c r="L35" s="498">
        <v>0</v>
      </c>
      <c r="M35" s="174"/>
      <c r="N35" s="174">
        <f t="shared" si="0"/>
        <v>0</v>
      </c>
      <c r="O35" s="95"/>
      <c r="P35" s="503">
        <v>0</v>
      </c>
      <c r="Q35" s="97"/>
      <c r="R35" s="507">
        <v>0</v>
      </c>
      <c r="S35" s="174"/>
      <c r="T35" s="174">
        <f t="shared" si="1"/>
        <v>0</v>
      </c>
      <c r="U35" s="95"/>
      <c r="V35" s="509">
        <v>21516</v>
      </c>
      <c r="W35" s="97"/>
      <c r="X35" s="513">
        <v>2539</v>
      </c>
      <c r="Y35" s="90"/>
      <c r="Z35" s="73">
        <f t="shared" si="2"/>
        <v>24055</v>
      </c>
      <c r="AA35" s="95"/>
      <c r="AB35" s="73">
        <v>21500</v>
      </c>
      <c r="AC35" s="73">
        <f t="shared" si="3"/>
        <v>21516</v>
      </c>
      <c r="AD35" s="97"/>
      <c r="AE35" s="517">
        <f t="shared" si="4"/>
        <v>2539</v>
      </c>
      <c r="AF35" s="97"/>
      <c r="AG35" s="73">
        <f t="shared" si="5"/>
        <v>24055</v>
      </c>
      <c r="AH35" s="63"/>
      <c r="AI35" s="248">
        <f t="shared" si="6"/>
        <v>0.11883720930232555</v>
      </c>
    </row>
    <row r="36" spans="1:35" s="37" customFormat="1" x14ac:dyDescent="0.25">
      <c r="A36" s="37" t="s">
        <v>188</v>
      </c>
      <c r="C36" s="96"/>
      <c r="D36" s="484">
        <v>18414</v>
      </c>
      <c r="E36" s="90"/>
      <c r="F36" s="482">
        <v>7237</v>
      </c>
      <c r="G36" s="90"/>
      <c r="H36" s="478">
        <f t="shared" si="7"/>
        <v>25651</v>
      </c>
      <c r="I36" s="95"/>
      <c r="J36" s="492">
        <v>28937</v>
      </c>
      <c r="K36" s="97"/>
      <c r="L36" s="499">
        <v>11372</v>
      </c>
      <c r="M36" s="90"/>
      <c r="N36" s="73">
        <f t="shared" si="0"/>
        <v>40309</v>
      </c>
      <c r="O36" s="95"/>
      <c r="P36" s="501">
        <v>21922</v>
      </c>
      <c r="Q36" s="97"/>
      <c r="R36" s="508">
        <v>8615</v>
      </c>
      <c r="S36" s="90"/>
      <c r="T36" s="73">
        <f t="shared" si="1"/>
        <v>30537</v>
      </c>
      <c r="U36" s="95"/>
      <c r="V36" s="509">
        <v>18414</v>
      </c>
      <c r="W36" s="97"/>
      <c r="X36" s="517">
        <v>7237</v>
      </c>
      <c r="Y36" s="90"/>
      <c r="Z36" s="73">
        <f t="shared" si="2"/>
        <v>25651</v>
      </c>
      <c r="AA36" s="95"/>
      <c r="AB36" s="73">
        <v>198800</v>
      </c>
      <c r="AC36" s="73">
        <f t="shared" si="3"/>
        <v>87687</v>
      </c>
      <c r="AD36" s="97"/>
      <c r="AE36" s="517">
        <f t="shared" si="4"/>
        <v>34461</v>
      </c>
      <c r="AF36" s="97"/>
      <c r="AG36" s="73">
        <f t="shared" si="5"/>
        <v>122148</v>
      </c>
      <c r="AH36" s="63"/>
      <c r="AI36" s="248">
        <f t="shared" si="6"/>
        <v>-0.38557344064386323</v>
      </c>
    </row>
    <row r="37" spans="1:35" s="37" customFormat="1" x14ac:dyDescent="0.25">
      <c r="A37" s="37" t="s">
        <v>189</v>
      </c>
      <c r="C37" s="90"/>
      <c r="D37" s="486">
        <v>0</v>
      </c>
      <c r="E37" s="90"/>
      <c r="F37" s="481">
        <v>0</v>
      </c>
      <c r="G37" s="174"/>
      <c r="H37" s="481">
        <f t="shared" si="7"/>
        <v>0</v>
      </c>
      <c r="I37" s="95"/>
      <c r="J37" s="494">
        <v>0</v>
      </c>
      <c r="K37" s="97"/>
      <c r="L37" s="498">
        <v>0</v>
      </c>
      <c r="M37" s="174"/>
      <c r="N37" s="174">
        <f t="shared" si="0"/>
        <v>0</v>
      </c>
      <c r="O37" s="95"/>
      <c r="P37" s="503">
        <v>0</v>
      </c>
      <c r="Q37" s="97"/>
      <c r="R37" s="507">
        <v>0</v>
      </c>
      <c r="S37" s="174"/>
      <c r="T37" s="174">
        <f t="shared" si="1"/>
        <v>0</v>
      </c>
      <c r="U37" s="95"/>
      <c r="V37" s="509">
        <v>14060</v>
      </c>
      <c r="W37" s="97"/>
      <c r="X37" s="514">
        <v>3000</v>
      </c>
      <c r="Y37" s="90"/>
      <c r="Z37" s="73">
        <f t="shared" si="2"/>
        <v>17060</v>
      </c>
      <c r="AA37" s="95"/>
      <c r="AB37" s="73">
        <v>12740</v>
      </c>
      <c r="AC37" s="73">
        <f t="shared" si="3"/>
        <v>14060</v>
      </c>
      <c r="AD37" s="97"/>
      <c r="AE37" s="517">
        <f t="shared" si="4"/>
        <v>3000</v>
      </c>
      <c r="AF37" s="97"/>
      <c r="AG37" s="73">
        <f t="shared" si="5"/>
        <v>17060</v>
      </c>
      <c r="AH37" s="63"/>
      <c r="AI37" s="248">
        <f t="shared" si="6"/>
        <v>0.3390894819466248</v>
      </c>
    </row>
    <row r="38" spans="1:35" s="37" customFormat="1" x14ac:dyDescent="0.25">
      <c r="A38" s="37" t="s">
        <v>211</v>
      </c>
      <c r="C38" s="90"/>
      <c r="D38" s="486">
        <v>0</v>
      </c>
      <c r="E38" s="90"/>
      <c r="F38" s="481">
        <v>0</v>
      </c>
      <c r="G38" s="174"/>
      <c r="H38" s="481">
        <f t="shared" si="7"/>
        <v>0</v>
      </c>
      <c r="I38" s="95"/>
      <c r="J38" s="494">
        <v>0</v>
      </c>
      <c r="K38" s="97"/>
      <c r="L38" s="498">
        <v>0</v>
      </c>
      <c r="M38" s="174"/>
      <c r="N38" s="174">
        <f t="shared" si="0"/>
        <v>0</v>
      </c>
      <c r="O38" s="95"/>
      <c r="P38" s="503">
        <v>0</v>
      </c>
      <c r="Q38" s="97"/>
      <c r="R38" s="507">
        <v>0</v>
      </c>
      <c r="S38" s="174"/>
      <c r="T38" s="174">
        <f t="shared" si="1"/>
        <v>0</v>
      </c>
      <c r="U38" s="95"/>
      <c r="V38" s="509">
        <v>1633</v>
      </c>
      <c r="W38" s="97"/>
      <c r="X38" s="517">
        <v>150</v>
      </c>
      <c r="Y38" s="90"/>
      <c r="Z38" s="73">
        <f t="shared" si="2"/>
        <v>1783</v>
      </c>
      <c r="AA38" s="95"/>
      <c r="AB38" s="73">
        <v>3000</v>
      </c>
      <c r="AC38" s="73">
        <f t="shared" si="3"/>
        <v>1633</v>
      </c>
      <c r="AD38" s="97"/>
      <c r="AE38" s="517">
        <f t="shared" si="4"/>
        <v>150</v>
      </c>
      <c r="AF38" s="97"/>
      <c r="AG38" s="73">
        <f t="shared" si="5"/>
        <v>1783</v>
      </c>
      <c r="AH38" s="63"/>
      <c r="AI38" s="248">
        <f t="shared" si="6"/>
        <v>-0.40566666666666662</v>
      </c>
    </row>
    <row r="39" spans="1:35" s="37" customFormat="1" x14ac:dyDescent="0.25">
      <c r="A39" s="37" t="s">
        <v>5</v>
      </c>
      <c r="C39" s="90"/>
      <c r="D39" s="484">
        <v>9567</v>
      </c>
      <c r="E39" s="90"/>
      <c r="F39" s="477">
        <v>100</v>
      </c>
      <c r="G39" s="90"/>
      <c r="H39" s="478">
        <f t="shared" si="7"/>
        <v>9667</v>
      </c>
      <c r="I39" s="95"/>
      <c r="J39" s="492">
        <v>3379</v>
      </c>
      <c r="K39" s="97"/>
      <c r="L39" s="496">
        <v>1800</v>
      </c>
      <c r="M39" s="90"/>
      <c r="N39" s="73">
        <f t="shared" si="0"/>
        <v>5179</v>
      </c>
      <c r="O39" s="95"/>
      <c r="P39" s="501">
        <v>9058</v>
      </c>
      <c r="Q39" s="97"/>
      <c r="R39" s="506">
        <v>2821</v>
      </c>
      <c r="S39" s="90"/>
      <c r="T39" s="73">
        <f t="shared" si="1"/>
        <v>11879</v>
      </c>
      <c r="U39" s="95"/>
      <c r="V39" s="509">
        <v>0</v>
      </c>
      <c r="W39" s="97"/>
      <c r="X39" s="517">
        <v>0</v>
      </c>
      <c r="Y39" s="90"/>
      <c r="Z39" s="73">
        <f t="shared" si="2"/>
        <v>0</v>
      </c>
      <c r="AA39" s="95"/>
      <c r="AB39" s="73">
        <v>30000</v>
      </c>
      <c r="AC39" s="73">
        <f t="shared" si="3"/>
        <v>22004</v>
      </c>
      <c r="AD39" s="97"/>
      <c r="AE39" s="517">
        <f t="shared" si="4"/>
        <v>4721</v>
      </c>
      <c r="AF39" s="97"/>
      <c r="AG39" s="73">
        <f t="shared" si="5"/>
        <v>26725</v>
      </c>
      <c r="AH39" s="63"/>
      <c r="AI39" s="248">
        <f t="shared" si="6"/>
        <v>-0.10916666666666663</v>
      </c>
    </row>
    <row r="40" spans="1:35" s="37" customFormat="1" x14ac:dyDescent="0.25">
      <c r="A40" s="37" t="s">
        <v>204</v>
      </c>
      <c r="C40" s="90"/>
      <c r="D40" s="487"/>
      <c r="E40" s="90"/>
      <c r="F40" s="483">
        <v>1200</v>
      </c>
      <c r="G40" s="90"/>
      <c r="H40" s="478">
        <f t="shared" si="7"/>
        <v>1200</v>
      </c>
      <c r="I40" s="95"/>
      <c r="J40" s="517">
        <v>3750</v>
      </c>
      <c r="K40" s="174"/>
      <c r="L40" s="498">
        <v>0</v>
      </c>
      <c r="M40" s="174"/>
      <c r="N40" s="517">
        <f t="shared" si="0"/>
        <v>3750</v>
      </c>
      <c r="O40" s="95"/>
      <c r="P40" s="504">
        <v>1400</v>
      </c>
      <c r="Q40" s="97"/>
      <c r="R40" s="507">
        <v>0</v>
      </c>
      <c r="S40" s="174"/>
      <c r="T40" s="517">
        <f t="shared" si="1"/>
        <v>1400</v>
      </c>
      <c r="U40" s="95"/>
      <c r="V40" s="511">
        <v>0</v>
      </c>
      <c r="W40" s="174"/>
      <c r="X40" s="516">
        <v>0</v>
      </c>
      <c r="Y40" s="174"/>
      <c r="Z40" s="174">
        <f t="shared" si="2"/>
        <v>0</v>
      </c>
      <c r="AA40" s="95"/>
      <c r="AB40" s="73">
        <v>1200</v>
      </c>
      <c r="AC40" s="517">
        <f t="shared" si="3"/>
        <v>5150</v>
      </c>
      <c r="AD40" s="97"/>
      <c r="AE40" s="517">
        <f t="shared" si="4"/>
        <v>1200</v>
      </c>
      <c r="AF40" s="97"/>
      <c r="AG40" s="73">
        <f t="shared" si="5"/>
        <v>6350</v>
      </c>
      <c r="AH40" s="63"/>
      <c r="AI40" s="248">
        <f t="shared" si="6"/>
        <v>4.291666666666667</v>
      </c>
    </row>
    <row r="41" spans="1:35" s="37" customFormat="1" x14ac:dyDescent="0.25">
      <c r="A41" s="37" t="s">
        <v>289</v>
      </c>
      <c r="C41" s="90"/>
      <c r="D41" s="486">
        <v>0</v>
      </c>
      <c r="E41" s="90"/>
      <c r="F41" s="477">
        <v>450</v>
      </c>
      <c r="G41" s="72"/>
      <c r="H41" s="477">
        <f t="shared" si="7"/>
        <v>450</v>
      </c>
      <c r="I41" s="95"/>
      <c r="J41" s="494">
        <v>0</v>
      </c>
      <c r="K41" s="97"/>
      <c r="L41" s="495">
        <v>750</v>
      </c>
      <c r="M41" s="72"/>
      <c r="N41" s="72">
        <f t="shared" si="0"/>
        <v>750</v>
      </c>
      <c r="O41" s="95"/>
      <c r="P41" s="503">
        <v>0</v>
      </c>
      <c r="Q41" s="97"/>
      <c r="R41" s="506">
        <v>450</v>
      </c>
      <c r="S41" s="73"/>
      <c r="T41" s="73">
        <f t="shared" si="1"/>
        <v>450</v>
      </c>
      <c r="U41" s="95"/>
      <c r="V41" s="511">
        <v>0</v>
      </c>
      <c r="W41" s="174"/>
      <c r="X41" s="516">
        <v>0</v>
      </c>
      <c r="Y41" s="174"/>
      <c r="Z41" s="174">
        <f t="shared" si="2"/>
        <v>0</v>
      </c>
      <c r="AA41" s="95"/>
      <c r="AB41" s="73">
        <v>0</v>
      </c>
      <c r="AC41" s="174">
        <f t="shared" si="3"/>
        <v>0</v>
      </c>
      <c r="AD41" s="97"/>
      <c r="AE41" s="517">
        <f t="shared" si="4"/>
        <v>1650</v>
      </c>
      <c r="AF41" s="97"/>
      <c r="AG41" s="73">
        <f t="shared" si="5"/>
        <v>1650</v>
      </c>
      <c r="AH41" s="63"/>
      <c r="AI41" s="248" t="e">
        <f t="shared" si="6"/>
        <v>#DIV/0!</v>
      </c>
    </row>
    <row r="42" spans="1:35" s="37" customFormat="1" x14ac:dyDescent="0.25">
      <c r="A42" s="37" t="s">
        <v>190</v>
      </c>
      <c r="C42" s="90"/>
      <c r="D42" s="484">
        <v>9990</v>
      </c>
      <c r="E42" s="90"/>
      <c r="F42" s="477">
        <f>11988-9990+12</f>
        <v>2010</v>
      </c>
      <c r="G42" s="90"/>
      <c r="H42" s="478">
        <f t="shared" si="7"/>
        <v>12000</v>
      </c>
      <c r="I42" s="95"/>
      <c r="J42" s="492">
        <v>52245</v>
      </c>
      <c r="K42" s="97"/>
      <c r="L42" s="495">
        <f>62692-55245+8+5000</f>
        <v>12455</v>
      </c>
      <c r="M42" s="90"/>
      <c r="N42" s="73">
        <f t="shared" si="0"/>
        <v>64700</v>
      </c>
      <c r="O42" s="95"/>
      <c r="P42" s="501">
        <v>85167</v>
      </c>
      <c r="Q42" s="97"/>
      <c r="R42" s="505">
        <f>17033+5000</f>
        <v>22033</v>
      </c>
      <c r="S42" s="90"/>
      <c r="T42" s="72">
        <f t="shared" si="1"/>
        <v>107200</v>
      </c>
      <c r="U42" s="95"/>
      <c r="V42" s="511">
        <v>0</v>
      </c>
      <c r="W42" s="174"/>
      <c r="X42" s="516">
        <v>0</v>
      </c>
      <c r="Y42" s="174"/>
      <c r="Z42" s="174">
        <f t="shared" si="2"/>
        <v>0</v>
      </c>
      <c r="AA42" s="95"/>
      <c r="AB42" s="73">
        <v>178000</v>
      </c>
      <c r="AC42" s="73">
        <f t="shared" si="3"/>
        <v>147402</v>
      </c>
      <c r="AD42" s="97"/>
      <c r="AE42" s="517">
        <f t="shared" si="4"/>
        <v>36498</v>
      </c>
      <c r="AF42" s="97"/>
      <c r="AG42" s="73">
        <f t="shared" si="5"/>
        <v>183900</v>
      </c>
      <c r="AH42" s="63"/>
      <c r="AI42" s="248">
        <f t="shared" si="6"/>
        <v>3.3146067415730229E-2</v>
      </c>
    </row>
    <row r="43" spans="1:35" ht="18" x14ac:dyDescent="0.4">
      <c r="A43" s="1" t="s">
        <v>205</v>
      </c>
      <c r="C43" s="96"/>
      <c r="D43" s="485">
        <v>22477</v>
      </c>
      <c r="E43" s="99"/>
      <c r="F43" s="480">
        <v>4834</v>
      </c>
      <c r="G43" s="99"/>
      <c r="H43" s="479">
        <f t="shared" si="7"/>
        <v>27311</v>
      </c>
      <c r="I43" s="100"/>
      <c r="J43" s="493">
        <v>44955</v>
      </c>
      <c r="K43" s="101"/>
      <c r="L43" s="497">
        <v>9668</v>
      </c>
      <c r="M43" s="99"/>
      <c r="N43" s="74">
        <f t="shared" si="0"/>
        <v>54623</v>
      </c>
      <c r="O43" s="100"/>
      <c r="P43" s="502">
        <v>22478</v>
      </c>
      <c r="Q43" s="101"/>
      <c r="R43" s="116">
        <v>4833</v>
      </c>
      <c r="S43" s="99"/>
      <c r="T43" s="74">
        <f t="shared" si="1"/>
        <v>27311</v>
      </c>
      <c r="U43" s="100"/>
      <c r="V43" s="510">
        <v>-89910</v>
      </c>
      <c r="W43" s="101"/>
      <c r="X43" s="515">
        <v>-19335</v>
      </c>
      <c r="Y43" s="99"/>
      <c r="Z43" s="75">
        <f t="shared" si="2"/>
        <v>-109245</v>
      </c>
      <c r="AA43" s="100"/>
      <c r="AB43" s="561">
        <v>139300</v>
      </c>
      <c r="AC43" s="588">
        <f t="shared" ref="AC43" si="8">D43+J43+P43+V43</f>
        <v>0</v>
      </c>
      <c r="AD43" s="595"/>
      <c r="AE43" s="588">
        <f t="shared" ref="AE43" si="9">F43+L43+R43+X43</f>
        <v>0</v>
      </c>
      <c r="AF43" s="97"/>
      <c r="AG43" s="588">
        <f t="shared" ref="AG43" si="10">H43+N43+T43+Z43</f>
        <v>0</v>
      </c>
      <c r="AH43" s="4"/>
      <c r="AI43" s="318">
        <v>0</v>
      </c>
    </row>
    <row r="44" spans="1:35" ht="18" x14ac:dyDescent="0.4">
      <c r="A44" s="1" t="s">
        <v>191</v>
      </c>
      <c r="C44" s="82"/>
      <c r="D44" s="75">
        <f>SUM(D22:D43)</f>
        <v>182878</v>
      </c>
      <c r="E44" s="82"/>
      <c r="F44" s="75">
        <f>SUM(F22:F43)</f>
        <v>44564</v>
      </c>
      <c r="G44" s="82"/>
      <c r="H44" s="75">
        <f>SUM(H22:H43)</f>
        <v>227442</v>
      </c>
      <c r="I44" s="95"/>
      <c r="J44" s="75">
        <f>SUM(J22:J43)</f>
        <v>470763</v>
      </c>
      <c r="K44" s="94"/>
      <c r="L44" s="75">
        <f>SUM(L22:L43)</f>
        <v>85617</v>
      </c>
      <c r="M44" s="82"/>
      <c r="N44" s="75">
        <f>SUM(N22:N43)</f>
        <v>544380</v>
      </c>
      <c r="O44" s="95"/>
      <c r="P44" s="75">
        <f>SUM(P22:P43)</f>
        <v>304659</v>
      </c>
      <c r="Q44" s="94"/>
      <c r="R44" s="75">
        <f>SUM(R22:R43)</f>
        <v>63101</v>
      </c>
      <c r="S44" s="82"/>
      <c r="T44" s="75">
        <f>SUM(T22:T43)</f>
        <v>367760</v>
      </c>
      <c r="U44" s="95"/>
      <c r="V44" s="253">
        <f>SUM(V22:V43)</f>
        <v>0</v>
      </c>
      <c r="W44" s="172"/>
      <c r="X44" s="253">
        <f>SUM(X22:X43)</f>
        <v>0</v>
      </c>
      <c r="Y44" s="172"/>
      <c r="Z44" s="253">
        <f>SUM(Z22:Z43)</f>
        <v>0</v>
      </c>
      <c r="AA44" s="95"/>
      <c r="AB44" s="75">
        <f>SUM(AB22:AB43)</f>
        <v>1263025</v>
      </c>
      <c r="AC44" s="75">
        <f>SUM(AC22:AC43)</f>
        <v>958300</v>
      </c>
      <c r="AD44" s="94"/>
      <c r="AE44" s="75">
        <f>SUM(AE22:AE43)</f>
        <v>193282</v>
      </c>
      <c r="AF44" s="94"/>
      <c r="AG44" s="75">
        <f>SUM(AG22:AG43)</f>
        <v>1139582</v>
      </c>
      <c r="AH44" s="4"/>
      <c r="AI44" s="318">
        <f t="shared" si="6"/>
        <v>-9.7735990974050391E-2</v>
      </c>
    </row>
    <row r="45" spans="1:35" x14ac:dyDescent="0.25">
      <c r="C45" s="82"/>
      <c r="D45" s="72"/>
      <c r="E45" s="82"/>
      <c r="F45" s="72"/>
      <c r="G45" s="82"/>
      <c r="H45" s="72"/>
      <c r="I45" s="84"/>
      <c r="J45" s="72"/>
      <c r="K45" s="82"/>
      <c r="L45" s="72"/>
      <c r="M45" s="82"/>
      <c r="N45" s="72"/>
      <c r="O45" s="84"/>
      <c r="P45" s="72"/>
      <c r="Q45" s="82"/>
      <c r="R45" s="72"/>
      <c r="S45" s="82"/>
      <c r="T45" s="72"/>
      <c r="U45" s="84"/>
      <c r="V45" s="72"/>
      <c r="W45" s="82"/>
      <c r="X45" s="72"/>
      <c r="Y45" s="82"/>
      <c r="Z45" s="72"/>
      <c r="AA45" s="84"/>
      <c r="AB45" s="90"/>
      <c r="AC45" s="72"/>
      <c r="AD45" s="82"/>
      <c r="AE45" s="72"/>
      <c r="AF45" s="82"/>
      <c r="AG45" s="72"/>
    </row>
    <row r="46" spans="1:35" ht="18" x14ac:dyDescent="0.4">
      <c r="A46" s="2" t="s">
        <v>206</v>
      </c>
      <c r="C46" s="82"/>
      <c r="D46" s="141">
        <f>D19-D44</f>
        <v>34664</v>
      </c>
      <c r="E46" s="92"/>
      <c r="F46" s="141">
        <f>F19-F44</f>
        <v>-29423</v>
      </c>
      <c r="G46" s="82"/>
      <c r="H46" s="141">
        <f>H19-H44</f>
        <v>5241</v>
      </c>
      <c r="I46" s="93"/>
      <c r="J46" s="141">
        <f>J19-J44</f>
        <v>64990</v>
      </c>
      <c r="K46" s="92"/>
      <c r="L46" s="141">
        <f>L19-L44</f>
        <v>-34548</v>
      </c>
      <c r="M46" s="82"/>
      <c r="N46" s="141">
        <f>N19-N44</f>
        <v>42442</v>
      </c>
      <c r="O46" s="93"/>
      <c r="P46" s="141">
        <f>P19-P44</f>
        <v>-29626</v>
      </c>
      <c r="Q46" s="92"/>
      <c r="R46" s="141">
        <f>R19-R44</f>
        <v>-38489</v>
      </c>
      <c r="S46" s="82"/>
      <c r="T46" s="141">
        <f>T19-T44</f>
        <v>-68115</v>
      </c>
      <c r="U46" s="93"/>
      <c r="V46" s="292">
        <f>V19-V44</f>
        <v>0</v>
      </c>
      <c r="W46" s="92"/>
      <c r="X46" s="292">
        <f>X19-X44</f>
        <v>0</v>
      </c>
      <c r="Y46" s="82"/>
      <c r="Z46" s="292">
        <f>Z19-Z44</f>
        <v>0</v>
      </c>
      <c r="AA46" s="93"/>
      <c r="AB46" s="141">
        <f>AB19-AB44</f>
        <v>-176435</v>
      </c>
      <c r="AC46" s="141">
        <f>AC19-AC44</f>
        <v>70028</v>
      </c>
      <c r="AD46" s="92"/>
      <c r="AE46" s="141">
        <f>AE19-AE44</f>
        <v>-102460</v>
      </c>
      <c r="AF46" s="82"/>
      <c r="AG46" s="141">
        <f>AG19-AG44</f>
        <v>-20432</v>
      </c>
      <c r="AI46" s="319">
        <f>+AG46/AB46-1</f>
        <v>-0.88419531272139884</v>
      </c>
    </row>
    <row r="47" spans="1:35" ht="18" x14ac:dyDescent="0.4">
      <c r="A47" s="2"/>
      <c r="C47" s="82"/>
      <c r="D47" s="141"/>
      <c r="E47" s="92"/>
      <c r="F47" s="141"/>
      <c r="G47" s="82"/>
      <c r="H47" s="141"/>
      <c r="I47" s="179"/>
      <c r="J47" s="141"/>
      <c r="K47" s="92"/>
      <c r="L47" s="141"/>
      <c r="M47" s="82"/>
      <c r="N47" s="141"/>
      <c r="O47" s="179"/>
      <c r="P47" s="141"/>
      <c r="Q47" s="92"/>
      <c r="R47" s="141"/>
      <c r="S47" s="82"/>
      <c r="T47" s="141"/>
      <c r="U47" s="179"/>
      <c r="V47" s="292"/>
      <c r="W47" s="92"/>
      <c r="X47" s="292"/>
      <c r="Y47" s="82"/>
      <c r="Z47" s="292"/>
      <c r="AA47" s="179"/>
      <c r="AB47" s="141"/>
      <c r="AC47" s="141"/>
      <c r="AD47" s="92"/>
      <c r="AE47" s="141"/>
      <c r="AF47" s="82"/>
      <c r="AG47" s="141"/>
      <c r="AI47" s="248"/>
    </row>
    <row r="48" spans="1:35" ht="18" x14ac:dyDescent="0.4">
      <c r="A48" s="2"/>
      <c r="C48" s="82"/>
      <c r="D48" s="108">
        <f>D26/D15</f>
        <v>0.28619812900144259</v>
      </c>
      <c r="E48" s="108"/>
      <c r="F48" s="108">
        <f>F26/F15</f>
        <v>0.90606190885640581</v>
      </c>
      <c r="G48" s="108"/>
      <c r="H48" s="108">
        <f>H26/H15</f>
        <v>0.32530229404452482</v>
      </c>
      <c r="I48" s="179"/>
      <c r="J48" s="141"/>
      <c r="K48" s="92"/>
      <c r="L48" s="141"/>
      <c r="M48" s="82"/>
      <c r="N48" s="141"/>
      <c r="O48" s="179"/>
      <c r="P48" s="141"/>
      <c r="Q48" s="92"/>
      <c r="R48" s="141"/>
      <c r="S48" s="82"/>
      <c r="T48" s="141"/>
      <c r="U48" s="179"/>
      <c r="V48" s="141"/>
      <c r="W48" s="92"/>
      <c r="X48" s="141"/>
      <c r="Y48" s="82"/>
      <c r="Z48" s="141"/>
      <c r="AA48" s="179"/>
      <c r="AB48" s="179"/>
      <c r="AC48" s="141"/>
      <c r="AD48" s="92"/>
      <c r="AE48" s="141"/>
      <c r="AF48" s="82"/>
      <c r="AG48" s="141"/>
    </row>
    <row r="49" spans="1:33" ht="18.75" thickBot="1" x14ac:dyDescent="0.45">
      <c r="A49" s="2"/>
      <c r="C49" s="82"/>
      <c r="D49" s="108"/>
      <c r="E49" s="108"/>
      <c r="F49" s="108"/>
      <c r="G49" s="108"/>
      <c r="H49" s="108"/>
      <c r="I49" s="179"/>
      <c r="J49" s="141"/>
      <c r="K49" s="92"/>
      <c r="L49" s="141"/>
      <c r="M49" s="82"/>
      <c r="N49" s="141"/>
      <c r="O49" s="179"/>
      <c r="P49" s="141"/>
      <c r="Q49" s="92"/>
      <c r="R49" s="141"/>
      <c r="S49" s="82"/>
      <c r="T49" s="141"/>
      <c r="U49" s="179"/>
      <c r="V49" s="141"/>
      <c r="W49" s="92"/>
      <c r="X49" s="141"/>
      <c r="Y49" s="82"/>
      <c r="Z49" s="141"/>
      <c r="AA49" s="179"/>
      <c r="AB49" s="179"/>
      <c r="AC49" s="141"/>
      <c r="AD49" s="92"/>
      <c r="AE49" s="141"/>
      <c r="AF49" s="82"/>
      <c r="AG49" s="141"/>
    </row>
    <row r="50" spans="1:33" ht="19.5" thickBot="1" x14ac:dyDescent="0.35">
      <c r="A50" s="102" t="s">
        <v>218</v>
      </c>
      <c r="B50" s="82"/>
      <c r="C50" s="82"/>
      <c r="D50" s="103" t="s">
        <v>215</v>
      </c>
      <c r="E50" s="104"/>
      <c r="F50" s="103"/>
      <c r="G50" s="104"/>
      <c r="AB50" s="49"/>
    </row>
    <row r="51" spans="1:33" ht="18" x14ac:dyDescent="0.4">
      <c r="A51" s="82"/>
      <c r="B51" s="82"/>
      <c r="C51" s="105"/>
      <c r="D51" s="106" t="s">
        <v>382</v>
      </c>
      <c r="E51" s="107"/>
      <c r="F51" s="106" t="s">
        <v>216</v>
      </c>
      <c r="G51" s="107"/>
    </row>
    <row r="52" spans="1:33" ht="20.25" x14ac:dyDescent="0.4">
      <c r="A52" s="82" t="s">
        <v>357</v>
      </c>
      <c r="B52" s="82"/>
      <c r="C52" s="82"/>
      <c r="D52" s="83"/>
      <c r="E52" s="82"/>
      <c r="F52" s="129" t="s">
        <v>218</v>
      </c>
      <c r="G52" s="82"/>
      <c r="J52" s="309">
        <v>89910</v>
      </c>
      <c r="K52" s="309"/>
      <c r="L52" s="309">
        <v>19335</v>
      </c>
    </row>
    <row r="53" spans="1:33" ht="18.75" x14ac:dyDescent="0.3">
      <c r="A53" s="82" t="s">
        <v>358</v>
      </c>
      <c r="B53" s="82"/>
      <c r="C53" s="82"/>
      <c r="D53" s="83"/>
      <c r="E53" s="82"/>
      <c r="F53" s="129"/>
      <c r="G53" s="82"/>
    </row>
    <row r="54" spans="1:33" x14ac:dyDescent="0.25">
      <c r="A54" s="82" t="s">
        <v>359</v>
      </c>
      <c r="B54" s="82"/>
      <c r="C54" s="99"/>
      <c r="D54" s="108">
        <f>H19/AG19</f>
        <v>0.20791046776571506</v>
      </c>
      <c r="E54" s="109"/>
      <c r="F54" s="108">
        <v>0.25</v>
      </c>
      <c r="G54" s="109"/>
      <c r="J54" s="22">
        <f>J52*F54</f>
        <v>22477.5</v>
      </c>
      <c r="L54" s="22">
        <f>L52*F54</f>
        <v>4833.75</v>
      </c>
      <c r="N54" s="22">
        <f>+J54+L54</f>
        <v>27311.25</v>
      </c>
    </row>
    <row r="55" spans="1:33" x14ac:dyDescent="0.25">
      <c r="A55" s="82" t="s">
        <v>360</v>
      </c>
      <c r="B55" s="82"/>
      <c r="C55" s="99"/>
      <c r="D55" s="108">
        <f>N19/AG19</f>
        <v>0.52434615556449093</v>
      </c>
      <c r="E55" s="109"/>
      <c r="F55" s="108">
        <v>0.5</v>
      </c>
      <c r="G55" s="109"/>
      <c r="J55" s="22">
        <f>J52*F55</f>
        <v>44955</v>
      </c>
      <c r="L55" s="22">
        <f>L52*F55</f>
        <v>9667.5</v>
      </c>
    </row>
    <row r="56" spans="1:33" ht="18" x14ac:dyDescent="0.4">
      <c r="A56" s="82" t="s">
        <v>361</v>
      </c>
      <c r="B56" s="82"/>
      <c r="C56" s="110"/>
      <c r="D56" s="111">
        <f>T19/AG19</f>
        <v>0.26774337666979403</v>
      </c>
      <c r="E56" s="112"/>
      <c r="F56" s="111">
        <v>0.25</v>
      </c>
      <c r="G56" s="109"/>
      <c r="J56" s="191">
        <f>J52*F56</f>
        <v>22477.5</v>
      </c>
      <c r="K56" s="145"/>
      <c r="L56" s="191">
        <f>L52*F56</f>
        <v>4833.75</v>
      </c>
    </row>
    <row r="57" spans="1:33" ht="18" x14ac:dyDescent="0.4">
      <c r="A57" s="82" t="s">
        <v>362</v>
      </c>
      <c r="B57" s="82"/>
      <c r="C57" s="113"/>
      <c r="D57" s="114">
        <f>SUM(D54:D56)</f>
        <v>1</v>
      </c>
      <c r="E57" s="115"/>
      <c r="F57" s="114">
        <f>SUM(F54:F56)</f>
        <v>1</v>
      </c>
      <c r="G57" s="109"/>
      <c r="J57" s="309">
        <f>J54+J55+J56</f>
        <v>89910</v>
      </c>
      <c r="K57" s="309"/>
      <c r="L57" s="309">
        <f>L54+L55+L56</f>
        <v>19335</v>
      </c>
    </row>
    <row r="58" spans="1:33" x14ac:dyDescent="0.25">
      <c r="D58" s="64"/>
      <c r="E58" s="65"/>
      <c r="F58" s="64"/>
      <c r="G58" s="66"/>
    </row>
    <row r="59" spans="1:33" x14ac:dyDescent="0.25">
      <c r="D59" s="108"/>
    </row>
    <row r="60" spans="1:33" x14ac:dyDescent="0.25">
      <c r="D60" s="108"/>
    </row>
    <row r="61" spans="1:33" x14ac:dyDescent="0.25">
      <c r="D61" s="108"/>
    </row>
    <row r="62" spans="1:33" x14ac:dyDescent="0.25">
      <c r="D62" s="108"/>
    </row>
  </sheetData>
  <mergeCells count="8">
    <mergeCell ref="A2:AI2"/>
    <mergeCell ref="A3:AI3"/>
    <mergeCell ref="A4:AI4"/>
    <mergeCell ref="J8:N8"/>
    <mergeCell ref="P8:T8"/>
    <mergeCell ref="V8:Z8"/>
    <mergeCell ref="D8:H8"/>
    <mergeCell ref="AB8:AI8"/>
  </mergeCells>
  <phoneticPr fontId="0" type="noConversion"/>
  <printOptions horizontalCentered="1"/>
  <pageMargins left="0" right="0" top="0.5" bottom="0.25" header="0.25" footer="0"/>
  <pageSetup scale="58" orientation="landscape" r:id="rId1"/>
  <headerFooter alignWithMargins="0">
    <oddFooter>&amp;L&amp;"Times New Roman,Regular"&amp;9&amp;D &amp;C&amp;"Times New Roman,Regular"&amp;9&amp;Z&amp;F&amp;R&amp;"Times New Roman,Regular"&amp;9&amp;A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J35"/>
  <sheetViews>
    <sheetView showGridLines="0" view="pageBreakPreview" topLeftCell="B1" zoomScaleNormal="75" workbookViewId="0">
      <selection activeCell="N29" sqref="N29"/>
    </sheetView>
  </sheetViews>
  <sheetFormatPr defaultColWidth="9.77734375" defaultRowHeight="15.75" x14ac:dyDescent="0.25"/>
  <cols>
    <col min="1" max="1" width="7.5546875" style="1" hidden="1" customWidth="1"/>
    <col min="2" max="2" width="28.33203125" style="1" customWidth="1"/>
    <col min="3" max="3" width="7.77734375" style="1" customWidth="1"/>
    <col min="4" max="4" width="8.33203125" style="1" customWidth="1"/>
    <col min="5" max="5" width="1.21875" style="1" customWidth="1"/>
    <col min="6" max="6" width="9.77734375" style="1"/>
    <col min="7" max="7" width="1.77734375" style="1" customWidth="1"/>
    <col min="8" max="8" width="10.44140625" style="1" bestFit="1" customWidth="1"/>
    <col min="9" max="9" width="1.77734375" style="1" customWidth="1"/>
    <col min="10" max="10" width="10.33203125" style="1" customWidth="1"/>
    <col min="11" max="11" width="8.77734375" style="1" customWidth="1"/>
    <col min="12" max="12" width="9.77734375" style="1"/>
    <col min="13" max="13" width="8.77734375" style="1" customWidth="1"/>
    <col min="14" max="14" width="9.77734375" style="1"/>
    <col min="15" max="15" width="10.77734375" style="1" customWidth="1"/>
    <col min="16" max="16384" width="9.77734375" style="1"/>
  </cols>
  <sheetData>
    <row r="1" spans="1:10" x14ac:dyDescent="0.25">
      <c r="A1" s="19" t="s">
        <v>47</v>
      </c>
      <c r="B1" s="19" t="s">
        <v>365</v>
      </c>
      <c r="C1" s="18"/>
      <c r="D1" s="18"/>
      <c r="E1" s="18"/>
      <c r="F1" s="18"/>
      <c r="G1" s="18"/>
      <c r="H1" s="50"/>
      <c r="I1" s="18"/>
      <c r="J1" s="50" t="s">
        <v>326</v>
      </c>
    </row>
    <row r="2" spans="1:10" x14ac:dyDescent="0.25">
      <c r="A2" s="19" t="s">
        <v>232</v>
      </c>
      <c r="B2" s="19" t="s">
        <v>234</v>
      </c>
      <c r="C2" s="18"/>
      <c r="D2" s="18"/>
      <c r="E2" s="19"/>
      <c r="F2" s="19"/>
      <c r="G2" s="18"/>
      <c r="H2" s="50"/>
      <c r="I2" s="18"/>
      <c r="J2" s="50"/>
    </row>
    <row r="3" spans="1:10" x14ac:dyDescent="0.25">
      <c r="A3" s="19"/>
      <c r="B3" s="19" t="s">
        <v>322</v>
      </c>
      <c r="C3" s="18"/>
      <c r="D3" s="18"/>
      <c r="E3" s="19"/>
      <c r="F3" s="19"/>
      <c r="G3" s="18"/>
      <c r="H3" s="50"/>
      <c r="I3" s="18"/>
      <c r="J3" s="50"/>
    </row>
    <row r="4" spans="1:10" x14ac:dyDescent="0.25">
      <c r="A4" s="46" t="str">
        <f>'General Fund'!A4</f>
        <v>Year Ending September 30, 2019</v>
      </c>
      <c r="B4" s="623" t="s">
        <v>463</v>
      </c>
      <c r="C4" s="623"/>
      <c r="D4" s="623"/>
      <c r="E4" s="623"/>
      <c r="F4" s="623"/>
      <c r="G4" s="623"/>
      <c r="H4" s="623"/>
      <c r="I4" s="623"/>
      <c r="J4" s="623"/>
    </row>
    <row r="5" spans="1:10" x14ac:dyDescent="0.25">
      <c r="D5" s="2"/>
      <c r="E5" s="2"/>
      <c r="G5" s="4"/>
    </row>
    <row r="7" spans="1:10" x14ac:dyDescent="0.25">
      <c r="F7" s="4"/>
      <c r="H7" s="4"/>
      <c r="J7" s="4"/>
    </row>
    <row r="8" spans="1:10" x14ac:dyDescent="0.25">
      <c r="F8" s="63" t="s">
        <v>19</v>
      </c>
      <c r="G8" s="37"/>
      <c r="H8" s="63"/>
      <c r="I8" s="37"/>
      <c r="J8" s="63"/>
    </row>
    <row r="9" spans="1:10" x14ac:dyDescent="0.25">
      <c r="F9" s="162" t="s">
        <v>349</v>
      </c>
      <c r="G9" s="77"/>
      <c r="H9" s="162" t="s">
        <v>345</v>
      </c>
      <c r="I9" s="77"/>
      <c r="J9" s="78">
        <v>2017</v>
      </c>
    </row>
    <row r="10" spans="1:10" x14ac:dyDescent="0.25">
      <c r="F10" s="51" t="s">
        <v>83</v>
      </c>
      <c r="H10" s="51" t="s">
        <v>84</v>
      </c>
      <c r="J10" s="51" t="s">
        <v>84</v>
      </c>
    </row>
    <row r="12" spans="1:10" x14ac:dyDescent="0.25">
      <c r="B12" s="2" t="s">
        <v>0</v>
      </c>
    </row>
    <row r="13" spans="1:10" x14ac:dyDescent="0.25">
      <c r="B13" s="1" t="s">
        <v>166</v>
      </c>
      <c r="F13" s="71">
        <v>0</v>
      </c>
      <c r="G13" s="52"/>
      <c r="H13" s="71">
        <v>0</v>
      </c>
      <c r="I13" s="52"/>
      <c r="J13" s="71">
        <v>0</v>
      </c>
    </row>
    <row r="14" spans="1:10" ht="18" x14ac:dyDescent="0.4">
      <c r="B14" s="1" t="s">
        <v>167</v>
      </c>
      <c r="F14" s="53">
        <v>0</v>
      </c>
      <c r="G14" s="54"/>
      <c r="H14" s="53">
        <v>0</v>
      </c>
      <c r="I14" s="54"/>
      <c r="J14" s="53">
        <v>0</v>
      </c>
    </row>
    <row r="15" spans="1:10" ht="18" x14ac:dyDescent="0.4">
      <c r="B15" s="1" t="s">
        <v>168</v>
      </c>
      <c r="F15" s="55">
        <f>F13+F14</f>
        <v>0</v>
      </c>
      <c r="G15" s="56"/>
      <c r="H15" s="55">
        <f>H13+H14</f>
        <v>0</v>
      </c>
      <c r="I15" s="56"/>
      <c r="J15" s="55">
        <f>J13+J14</f>
        <v>0</v>
      </c>
    </row>
    <row r="16" spans="1:10" x14ac:dyDescent="0.25">
      <c r="F16" s="49"/>
      <c r="G16" s="49"/>
      <c r="H16" s="49"/>
      <c r="I16" s="49"/>
      <c r="J16" s="49"/>
    </row>
    <row r="17" spans="2:10" x14ac:dyDescent="0.25">
      <c r="F17" s="52"/>
      <c r="G17" s="49"/>
      <c r="H17" s="52"/>
      <c r="I17" s="49"/>
      <c r="J17" s="52"/>
    </row>
    <row r="18" spans="2:10" x14ac:dyDescent="0.25">
      <c r="B18" s="2" t="s">
        <v>7</v>
      </c>
      <c r="F18" s="52"/>
      <c r="G18" s="49"/>
      <c r="H18" s="52"/>
      <c r="I18" s="49"/>
      <c r="J18" s="52"/>
    </row>
    <row r="19" spans="2:10" x14ac:dyDescent="0.25">
      <c r="B19" s="1" t="s">
        <v>169</v>
      </c>
      <c r="F19" s="52"/>
      <c r="G19" s="49"/>
      <c r="H19" s="52"/>
      <c r="I19" s="49"/>
      <c r="J19" s="52"/>
    </row>
    <row r="20" spans="2:10" x14ac:dyDescent="0.25">
      <c r="B20" s="1" t="s">
        <v>252</v>
      </c>
      <c r="F20" s="49">
        <v>0</v>
      </c>
      <c r="G20" s="49"/>
      <c r="H20" s="49">
        <v>0</v>
      </c>
      <c r="I20" s="49"/>
      <c r="J20" s="49">
        <v>0</v>
      </c>
    </row>
    <row r="21" spans="2:10" ht="18" x14ac:dyDescent="0.4">
      <c r="B21" s="1" t="s">
        <v>221</v>
      </c>
      <c r="F21" s="57">
        <v>0</v>
      </c>
      <c r="G21" s="9"/>
      <c r="H21" s="57">
        <v>0</v>
      </c>
      <c r="I21" s="9"/>
      <c r="J21" s="57">
        <v>0</v>
      </c>
    </row>
    <row r="22" spans="2:10" ht="18" x14ac:dyDescent="0.4">
      <c r="B22" s="1" t="s">
        <v>14</v>
      </c>
      <c r="F22" s="55">
        <f>SUM(F19:F21)</f>
        <v>0</v>
      </c>
      <c r="G22" s="56"/>
      <c r="H22" s="55">
        <f>SUM(H19:H21)</f>
        <v>0</v>
      </c>
      <c r="I22" s="56"/>
      <c r="J22" s="55">
        <f>SUM(J19:J21)</f>
        <v>0</v>
      </c>
    </row>
    <row r="23" spans="2:10" x14ac:dyDescent="0.25">
      <c r="F23" s="49"/>
      <c r="G23" s="49"/>
      <c r="H23" s="49"/>
      <c r="I23" s="49"/>
      <c r="J23" s="49"/>
    </row>
    <row r="24" spans="2:10" x14ac:dyDescent="0.25">
      <c r="B24" s="1" t="s">
        <v>105</v>
      </c>
      <c r="F24" s="59">
        <f>F15-F22</f>
        <v>0</v>
      </c>
      <c r="G24" s="58"/>
      <c r="H24" s="59">
        <f>H15-H22</f>
        <v>0</v>
      </c>
      <c r="I24" s="59" t="s">
        <v>19</v>
      </c>
      <c r="J24" s="59">
        <f>J15-J22</f>
        <v>0</v>
      </c>
    </row>
    <row r="25" spans="2:10" x14ac:dyDescent="0.25">
      <c r="F25" s="52"/>
      <c r="G25" s="49"/>
      <c r="H25" s="52"/>
      <c r="I25" s="49"/>
      <c r="J25" s="52"/>
    </row>
    <row r="26" spans="2:10" x14ac:dyDescent="0.25">
      <c r="B26" s="2" t="s">
        <v>170</v>
      </c>
      <c r="F26" s="49"/>
      <c r="G26" s="49"/>
      <c r="H26" s="49"/>
      <c r="I26" s="49"/>
      <c r="J26" s="49"/>
    </row>
    <row r="27" spans="2:10" ht="18" x14ac:dyDescent="0.4">
      <c r="B27" s="1" t="s">
        <v>253</v>
      </c>
      <c r="F27" s="57">
        <v>0</v>
      </c>
      <c r="G27" s="9"/>
      <c r="H27" s="57">
        <v>0</v>
      </c>
      <c r="I27" s="9"/>
      <c r="J27" s="57">
        <v>0</v>
      </c>
    </row>
    <row r="28" spans="2:10" x14ac:dyDescent="0.25">
      <c r="F28" s="49"/>
      <c r="G28" s="49"/>
      <c r="H28" s="49"/>
      <c r="I28" s="49"/>
      <c r="J28" s="49"/>
    </row>
    <row r="29" spans="2:10" x14ac:dyDescent="0.25">
      <c r="B29" s="1" t="s">
        <v>171</v>
      </c>
      <c r="F29" s="49"/>
      <c r="G29" s="49"/>
      <c r="H29" s="49"/>
      <c r="I29" s="49"/>
      <c r="J29" s="49"/>
    </row>
    <row r="30" spans="2:10" x14ac:dyDescent="0.25">
      <c r="B30" s="1" t="s">
        <v>90</v>
      </c>
      <c r="F30" s="60">
        <f>F24+F27</f>
        <v>0</v>
      </c>
      <c r="G30" s="60"/>
      <c r="H30" s="60">
        <f>H24+H27</f>
        <v>0</v>
      </c>
      <c r="I30" s="60"/>
      <c r="J30" s="60">
        <f>J24+J27</f>
        <v>0</v>
      </c>
    </row>
    <row r="31" spans="2:10" x14ac:dyDescent="0.25">
      <c r="F31" s="49"/>
      <c r="G31" s="49"/>
      <c r="H31" s="49"/>
      <c r="I31" s="49"/>
      <c r="J31" s="49"/>
    </row>
    <row r="32" spans="2:10" ht="18" x14ac:dyDescent="0.4">
      <c r="B32" s="2" t="s">
        <v>155</v>
      </c>
      <c r="F32" s="55">
        <v>0</v>
      </c>
      <c r="G32" s="56"/>
      <c r="H32" s="55">
        <f>F34</f>
        <v>0</v>
      </c>
      <c r="I32" s="56"/>
      <c r="J32" s="55">
        <f>H34</f>
        <v>0</v>
      </c>
    </row>
    <row r="33" spans="2:10" x14ac:dyDescent="0.25">
      <c r="F33" s="61"/>
      <c r="G33" s="9"/>
      <c r="H33" s="61"/>
      <c r="I33" s="9"/>
      <c r="J33" s="61"/>
    </row>
    <row r="34" spans="2:10" ht="18" x14ac:dyDescent="0.4">
      <c r="B34" s="2" t="s">
        <v>108</v>
      </c>
      <c r="F34" s="70">
        <f>SUM(F30:F32)</f>
        <v>0</v>
      </c>
      <c r="G34" s="59"/>
      <c r="H34" s="70">
        <f>SUM(H30:H32)</f>
        <v>0</v>
      </c>
      <c r="I34" s="59"/>
      <c r="J34" s="70">
        <f>SUM(J30:J32)</f>
        <v>0</v>
      </c>
    </row>
    <row r="35" spans="2:10" x14ac:dyDescent="0.25">
      <c r="B35" s="1" t="s">
        <v>19</v>
      </c>
      <c r="F35" s="52"/>
      <c r="G35" s="49"/>
      <c r="H35" s="52"/>
      <c r="I35" s="49"/>
      <c r="J35" s="52"/>
    </row>
  </sheetData>
  <mergeCells count="1">
    <mergeCell ref="B4:J4"/>
  </mergeCells>
  <phoneticPr fontId="0" type="noConversion"/>
  <pageMargins left="0.5" right="0.1" top="0.5" bottom="0.25" header="0.25" footer="0"/>
  <pageSetup scale="80" orientation="portrait" r:id="rId1"/>
  <headerFooter alignWithMargins="0">
    <oddFooter>&amp;L&amp;"Times New Roman,Regular"&amp;9&amp;D &amp;C&amp;"Times New Roman,Regular"&amp;9&amp;Z&amp;F&amp;R&amp;"Times New Roman,Regular"&amp;9&amp;A</oddFooter>
  </headerFooter>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3"/>
  <dimension ref="A16:N29"/>
  <sheetViews>
    <sheetView showGridLines="0" view="pageBreakPreview" zoomScaleNormal="100" workbookViewId="0">
      <selection activeCell="B71" sqref="B71"/>
    </sheetView>
  </sheetViews>
  <sheetFormatPr defaultColWidth="9.77734375" defaultRowHeight="15.75" x14ac:dyDescent="0.25"/>
  <cols>
    <col min="1" max="1" width="9.77734375" style="1"/>
    <col min="2" max="2" width="47.77734375" style="1" customWidth="1"/>
    <col min="3" max="3" width="9.77734375" style="1"/>
    <col min="4" max="6" width="12.77734375" style="1" customWidth="1"/>
    <col min="7" max="8" width="9.77734375" style="1"/>
    <col min="9" max="9" width="8.77734375" style="1" customWidth="1"/>
    <col min="10" max="10" width="9.77734375" style="1"/>
    <col min="11" max="11" width="10.77734375" style="1" customWidth="1"/>
    <col min="12" max="16384" width="9.77734375" style="1"/>
  </cols>
  <sheetData>
    <row r="16" spans="1:4" ht="22.5" x14ac:dyDescent="0.3">
      <c r="A16" s="621" t="s">
        <v>47</v>
      </c>
      <c r="B16" s="621"/>
      <c r="C16" s="621"/>
      <c r="D16" s="18"/>
    </row>
    <row r="17" spans="1:14" ht="22.5" x14ac:dyDescent="0.3">
      <c r="A17" s="17"/>
      <c r="B17" s="18"/>
      <c r="C17" s="18"/>
      <c r="D17" s="18"/>
    </row>
    <row r="18" spans="1:14" ht="22.5" x14ac:dyDescent="0.3">
      <c r="A18" s="17"/>
      <c r="B18" s="18"/>
      <c r="C18" s="18"/>
      <c r="D18" s="18"/>
    </row>
    <row r="19" spans="1:14" ht="22.5" x14ac:dyDescent="0.3">
      <c r="A19" s="17"/>
      <c r="B19" s="18"/>
      <c r="C19" s="18"/>
      <c r="D19" s="18"/>
    </row>
    <row r="20" spans="1:14" ht="22.5" x14ac:dyDescent="0.3">
      <c r="A20" s="621" t="s">
        <v>207</v>
      </c>
      <c r="B20" s="621"/>
      <c r="C20" s="621"/>
      <c r="D20" s="18"/>
    </row>
    <row r="21" spans="1:14" ht="15" customHeight="1" x14ac:dyDescent="0.3">
      <c r="A21" s="17"/>
      <c r="B21" s="18"/>
      <c r="C21" s="18"/>
      <c r="D21" s="18"/>
    </row>
    <row r="22" spans="1:14" ht="22.5" x14ac:dyDescent="0.3">
      <c r="A22" s="621" t="s">
        <v>500</v>
      </c>
      <c r="B22" s="621"/>
      <c r="C22" s="621"/>
      <c r="D22" s="18"/>
    </row>
    <row r="23" spans="1:14" ht="12.75" customHeight="1" x14ac:dyDescent="0.3">
      <c r="A23" s="621"/>
      <c r="B23" s="621"/>
      <c r="C23" s="621"/>
      <c r="D23" s="18"/>
    </row>
    <row r="24" spans="1:14" x14ac:dyDescent="0.25">
      <c r="A24" s="19"/>
      <c r="B24" s="18"/>
      <c r="C24" s="18"/>
      <c r="D24" s="18"/>
    </row>
    <row r="25" spans="1:14" ht="20.25" x14ac:dyDescent="0.3">
      <c r="A25" s="622" t="s">
        <v>208</v>
      </c>
      <c r="B25" s="622"/>
      <c r="C25" s="622"/>
      <c r="D25" s="18"/>
    </row>
    <row r="26" spans="1:14" x14ac:dyDescent="0.25">
      <c r="A26" s="18"/>
      <c r="B26" s="18"/>
      <c r="C26" s="18"/>
      <c r="D26" s="18"/>
    </row>
    <row r="27" spans="1:14" ht="22.5" x14ac:dyDescent="0.3">
      <c r="A27" s="621" t="s">
        <v>209</v>
      </c>
      <c r="B27" s="621"/>
      <c r="C27" s="621"/>
      <c r="D27" s="18"/>
    </row>
    <row r="28" spans="1:14" ht="15" customHeight="1" x14ac:dyDescent="0.25">
      <c r="A28" s="18"/>
      <c r="B28" s="18"/>
      <c r="C28" s="18"/>
      <c r="D28" s="18"/>
    </row>
    <row r="29" spans="1:14" ht="22.5" x14ac:dyDescent="0.3">
      <c r="A29" s="621" t="s">
        <v>554</v>
      </c>
      <c r="B29" s="621"/>
      <c r="C29" s="621"/>
      <c r="D29" s="18"/>
      <c r="N29" s="1" t="s">
        <v>19</v>
      </c>
    </row>
  </sheetData>
  <mergeCells count="7">
    <mergeCell ref="A29:C29"/>
    <mergeCell ref="A16:C16"/>
    <mergeCell ref="A20:C20"/>
    <mergeCell ref="A22:C22"/>
    <mergeCell ref="A23:C23"/>
    <mergeCell ref="A25:C25"/>
    <mergeCell ref="A27:C27"/>
  </mergeCells>
  <phoneticPr fontId="0" type="noConversion"/>
  <printOptions horizontalCentered="1"/>
  <pageMargins left="0.5" right="0.1" top="0.5" bottom="0.25" header="0.25" footer="0"/>
  <pageSetup scale="80" orientation="portrait" r:id="rId1"/>
  <headerFooter alignWithMargins="0">
    <oddFooter>&amp;L&amp;"Times New Roman,Regular"&amp;9&amp;D &amp;C&amp;"Times New Roman,Regular"&amp;9&amp;Z&amp;F&amp;R&amp;"Times New Roman,Regular"&amp;9&amp;A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4"/>
  <dimension ref="A1:AV1502"/>
  <sheetViews>
    <sheetView showGridLines="0" view="pageBreakPreview" zoomScaleNormal="100" zoomScaleSheetLayoutView="100" workbookViewId="0">
      <selection activeCell="F32" sqref="F32"/>
    </sheetView>
  </sheetViews>
  <sheetFormatPr defaultColWidth="9.77734375" defaultRowHeight="15.75" x14ac:dyDescent="0.25"/>
  <cols>
    <col min="1" max="2" width="5.77734375" style="1" customWidth="1"/>
    <col min="3" max="3" width="9.6640625" style="1" customWidth="1"/>
    <col min="4" max="4" width="11.33203125" style="1" customWidth="1"/>
    <col min="5" max="6" width="12.77734375" style="1" customWidth="1"/>
    <col min="7" max="7" width="2.109375" style="1" customWidth="1"/>
    <col min="8" max="8" width="8.33203125" style="1" customWidth="1"/>
    <col min="9" max="10" width="9.77734375" style="1"/>
    <col min="11" max="11" width="8.77734375" style="1" customWidth="1"/>
    <col min="12" max="12" width="9.77734375" style="1"/>
    <col min="13" max="13" width="10.77734375" style="1" customWidth="1"/>
    <col min="14" max="29" width="9.77734375" style="1"/>
    <col min="30" max="30" width="2.77734375" style="1" customWidth="1"/>
    <col min="31" max="33" width="9.77734375" style="1"/>
    <col min="34" max="34" width="2.77734375" style="1" customWidth="1"/>
    <col min="35" max="16384" width="9.77734375" style="1"/>
  </cols>
  <sheetData>
    <row r="1" spans="1:8" x14ac:dyDescent="0.25">
      <c r="A1" s="623" t="s">
        <v>47</v>
      </c>
      <c r="B1" s="623"/>
      <c r="C1" s="623"/>
      <c r="D1" s="623"/>
      <c r="E1" s="623"/>
      <c r="F1" s="623"/>
      <c r="G1" s="623"/>
      <c r="H1" s="623"/>
    </row>
    <row r="2" spans="1:8" x14ac:dyDescent="0.25">
      <c r="A2" s="623" t="s">
        <v>20</v>
      </c>
      <c r="B2" s="623"/>
      <c r="C2" s="623"/>
      <c r="D2" s="623"/>
      <c r="E2" s="623"/>
      <c r="F2" s="623"/>
      <c r="G2" s="623"/>
      <c r="H2" s="623"/>
    </row>
    <row r="3" spans="1:8" x14ac:dyDescent="0.25">
      <c r="A3" s="623" t="s">
        <v>555</v>
      </c>
      <c r="B3" s="623"/>
      <c r="C3" s="623"/>
      <c r="D3" s="623"/>
      <c r="E3" s="623"/>
      <c r="F3" s="623"/>
      <c r="G3" s="623"/>
      <c r="H3" s="623"/>
    </row>
    <row r="6" spans="1:8" x14ac:dyDescent="0.25">
      <c r="A6" s="623" t="s">
        <v>334</v>
      </c>
      <c r="B6" s="623"/>
      <c r="C6" s="623"/>
      <c r="D6" s="623"/>
      <c r="E6" s="623"/>
      <c r="F6" s="623"/>
      <c r="G6" s="623"/>
      <c r="H6" s="623"/>
    </row>
    <row r="8" spans="1:8" x14ac:dyDescent="0.25">
      <c r="H8" s="7" t="s">
        <v>21</v>
      </c>
    </row>
    <row r="10" spans="1:8" x14ac:dyDescent="0.25">
      <c r="A10" s="1" t="s">
        <v>22</v>
      </c>
      <c r="H10" s="7" t="s">
        <v>23</v>
      </c>
    </row>
    <row r="12" spans="1:8" x14ac:dyDescent="0.25">
      <c r="A12" s="1" t="s">
        <v>24</v>
      </c>
      <c r="H12" s="7" t="s">
        <v>25</v>
      </c>
    </row>
    <row r="14" spans="1:8" x14ac:dyDescent="0.25">
      <c r="A14" s="1" t="s">
        <v>26</v>
      </c>
      <c r="H14" s="7" t="s">
        <v>27</v>
      </c>
    </row>
    <row r="16" spans="1:8" x14ac:dyDescent="0.25">
      <c r="A16" s="1" t="s">
        <v>28</v>
      </c>
    </row>
    <row r="17" spans="1:14" x14ac:dyDescent="0.25">
      <c r="A17" s="1" t="s">
        <v>29</v>
      </c>
      <c r="H17" s="7" t="s">
        <v>30</v>
      </c>
    </row>
    <row r="18" spans="1:14" x14ac:dyDescent="0.25">
      <c r="A18" s="1" t="s">
        <v>31</v>
      </c>
      <c r="H18" s="7" t="s">
        <v>32</v>
      </c>
    </row>
    <row r="19" spans="1:14" x14ac:dyDescent="0.25">
      <c r="A19" s="1" t="s">
        <v>33</v>
      </c>
      <c r="H19" s="7" t="s">
        <v>34</v>
      </c>
    </row>
    <row r="21" spans="1:14" x14ac:dyDescent="0.25">
      <c r="A21" s="1" t="s">
        <v>35</v>
      </c>
    </row>
    <row r="22" spans="1:14" x14ac:dyDescent="0.25">
      <c r="A22" s="1" t="s">
        <v>36</v>
      </c>
    </row>
    <row r="23" spans="1:14" x14ac:dyDescent="0.25">
      <c r="A23" s="1" t="s">
        <v>37</v>
      </c>
      <c r="H23" s="7" t="s">
        <v>38</v>
      </c>
    </row>
    <row r="25" spans="1:14" x14ac:dyDescent="0.25">
      <c r="A25" s="1" t="s">
        <v>39</v>
      </c>
    </row>
    <row r="26" spans="1:14" x14ac:dyDescent="0.25">
      <c r="A26" s="1" t="s">
        <v>40</v>
      </c>
      <c r="H26" s="7" t="s">
        <v>41</v>
      </c>
    </row>
    <row r="28" spans="1:14" x14ac:dyDescent="0.25">
      <c r="A28" s="1" t="s">
        <v>364</v>
      </c>
      <c r="H28" s="7">
        <v>9</v>
      </c>
    </row>
    <row r="29" spans="1:14" x14ac:dyDescent="0.25">
      <c r="N29" s="1" t="s">
        <v>19</v>
      </c>
    </row>
    <row r="30" spans="1:14" x14ac:dyDescent="0.25">
      <c r="A30" s="1" t="s">
        <v>42</v>
      </c>
    </row>
    <row r="31" spans="1:14" x14ac:dyDescent="0.25">
      <c r="A31" s="1" t="s">
        <v>43</v>
      </c>
    </row>
    <row r="32" spans="1:14" x14ac:dyDescent="0.25">
      <c r="A32" s="1" t="s">
        <v>29</v>
      </c>
      <c r="H32" s="7">
        <v>10</v>
      </c>
    </row>
    <row r="33" spans="1:8" x14ac:dyDescent="0.25">
      <c r="A33" s="1" t="s">
        <v>44</v>
      </c>
      <c r="H33" s="7">
        <v>11</v>
      </c>
    </row>
    <row r="35" spans="1:8" x14ac:dyDescent="0.25">
      <c r="A35" s="1" t="s">
        <v>327</v>
      </c>
    </row>
    <row r="36" spans="1:8" x14ac:dyDescent="0.25">
      <c r="A36" s="1" t="s">
        <v>328</v>
      </c>
      <c r="H36" s="166" t="s">
        <v>341</v>
      </c>
    </row>
    <row r="37" spans="1:8" x14ac:dyDescent="0.25">
      <c r="A37" s="1" t="s">
        <v>329</v>
      </c>
      <c r="H37" s="166" t="s">
        <v>332</v>
      </c>
    </row>
    <row r="38" spans="1:8" x14ac:dyDescent="0.25">
      <c r="A38" s="1" t="s">
        <v>330</v>
      </c>
      <c r="H38" s="166" t="s">
        <v>333</v>
      </c>
    </row>
    <row r="39" spans="1:8" x14ac:dyDescent="0.25">
      <c r="A39" s="1" t="s">
        <v>331</v>
      </c>
      <c r="H39" s="166" t="s">
        <v>342</v>
      </c>
    </row>
    <row r="122" spans="47:47" x14ac:dyDescent="0.25">
      <c r="AU122" s="1" t="s">
        <v>45</v>
      </c>
    </row>
    <row r="123" spans="47:47" x14ac:dyDescent="0.25">
      <c r="AU123" s="1" t="s">
        <v>46</v>
      </c>
    </row>
    <row r="138" spans="15:15" x14ac:dyDescent="0.25">
      <c r="O138" s="4"/>
    </row>
    <row r="139" spans="15:15" x14ac:dyDescent="0.25">
      <c r="O139" s="4"/>
    </row>
    <row r="140" spans="15:15" x14ac:dyDescent="0.25">
      <c r="O140" s="4"/>
    </row>
    <row r="141" spans="15:15" x14ac:dyDescent="0.25">
      <c r="O141" s="4"/>
    </row>
    <row r="142" spans="15:15" x14ac:dyDescent="0.25">
      <c r="O142" s="4"/>
    </row>
    <row r="143" spans="15:15" x14ac:dyDescent="0.25">
      <c r="O143" s="4"/>
    </row>
    <row r="144" spans="15:15" x14ac:dyDescent="0.25">
      <c r="O144" s="4"/>
    </row>
    <row r="145" spans="15:15" x14ac:dyDescent="0.25">
      <c r="O145" s="4"/>
    </row>
    <row r="146" spans="15:15" x14ac:dyDescent="0.25">
      <c r="O146" s="4"/>
    </row>
    <row r="147" spans="15:15" x14ac:dyDescent="0.25">
      <c r="O147" s="4"/>
    </row>
    <row r="148" spans="15:15" x14ac:dyDescent="0.25">
      <c r="O148" s="4"/>
    </row>
    <row r="149" spans="15:15" x14ac:dyDescent="0.25">
      <c r="O149" s="4"/>
    </row>
    <row r="150" spans="15:15" x14ac:dyDescent="0.25">
      <c r="O150" s="4"/>
    </row>
    <row r="151" spans="15:15" x14ac:dyDescent="0.25">
      <c r="O151" s="4"/>
    </row>
    <row r="152" spans="15:15" x14ac:dyDescent="0.25">
      <c r="O152" s="4"/>
    </row>
    <row r="153" spans="15:15" x14ac:dyDescent="0.25">
      <c r="O153" s="4"/>
    </row>
    <row r="154" spans="15:15" x14ac:dyDescent="0.25">
      <c r="O154" s="4"/>
    </row>
    <row r="155" spans="15:15" x14ac:dyDescent="0.25">
      <c r="O155" s="4"/>
    </row>
    <row r="156" spans="15:15" x14ac:dyDescent="0.25">
      <c r="O156" s="4"/>
    </row>
    <row r="157" spans="15:15" x14ac:dyDescent="0.25">
      <c r="O157" s="4"/>
    </row>
    <row r="158" spans="15:15" x14ac:dyDescent="0.25">
      <c r="O158" s="4"/>
    </row>
    <row r="159" spans="15:15" x14ac:dyDescent="0.25">
      <c r="O159" s="4"/>
    </row>
    <row r="160" spans="15:15" x14ac:dyDescent="0.25">
      <c r="O160" s="4"/>
    </row>
    <row r="161" spans="2:48" x14ac:dyDescent="0.25">
      <c r="O161" s="4"/>
    </row>
    <row r="162" spans="2:48" x14ac:dyDescent="0.25">
      <c r="O162" s="4"/>
    </row>
    <row r="163" spans="2:48" x14ac:dyDescent="0.25">
      <c r="O163" s="4"/>
    </row>
    <row r="164" spans="2:48" x14ac:dyDescent="0.25">
      <c r="O164" s="4"/>
      <c r="AG164" s="1" t="s">
        <v>47</v>
      </c>
    </row>
    <row r="165" spans="2:48" x14ac:dyDescent="0.25">
      <c r="O165" s="4"/>
    </row>
    <row r="166" spans="2:48" x14ac:dyDescent="0.25">
      <c r="O166" s="4"/>
      <c r="AE166" s="1" t="s">
        <v>48</v>
      </c>
    </row>
    <row r="167" spans="2:48" x14ac:dyDescent="0.25">
      <c r="O167" s="4"/>
      <c r="S167" s="1" t="s">
        <v>19</v>
      </c>
      <c r="T167" s="1" t="s">
        <v>19</v>
      </c>
      <c r="U167" s="1" t="s">
        <v>19</v>
      </c>
      <c r="V167" s="1" t="s">
        <v>19</v>
      </c>
    </row>
    <row r="168" spans="2:48" x14ac:dyDescent="0.25">
      <c r="O168" s="4"/>
    </row>
    <row r="169" spans="2:48" x14ac:dyDescent="0.25">
      <c r="F169" s="4"/>
      <c r="H169" s="4"/>
      <c r="I169" s="4"/>
      <c r="J169" s="4"/>
      <c r="K169" s="4"/>
      <c r="L169" s="4"/>
      <c r="M169" s="4"/>
      <c r="N169" s="4"/>
      <c r="O169" s="4"/>
      <c r="S169" s="1" t="s">
        <v>19</v>
      </c>
      <c r="T169" s="1" t="s">
        <v>19</v>
      </c>
    </row>
    <row r="170" spans="2:48" x14ac:dyDescent="0.25">
      <c r="B170" s="1" t="s">
        <v>49</v>
      </c>
      <c r="F170" s="4"/>
      <c r="H170" s="4"/>
      <c r="I170" s="4"/>
      <c r="J170" s="4"/>
      <c r="K170" s="4"/>
      <c r="L170" s="4"/>
      <c r="M170" s="4"/>
      <c r="N170" s="4"/>
      <c r="O170" s="4"/>
      <c r="AB170" s="1" t="s">
        <v>50</v>
      </c>
      <c r="AF170" s="1" t="s">
        <v>51</v>
      </c>
      <c r="AJ170" s="1" t="s">
        <v>52</v>
      </c>
      <c r="AN170" s="1" t="s">
        <v>53</v>
      </c>
    </row>
    <row r="171" spans="2:48" x14ac:dyDescent="0.25">
      <c r="F171" s="4"/>
      <c r="H171" s="4"/>
      <c r="I171" s="4"/>
      <c r="J171" s="4"/>
      <c r="K171" s="4"/>
      <c r="L171" s="4"/>
      <c r="M171" s="4"/>
      <c r="N171" s="4"/>
      <c r="O171" s="4"/>
      <c r="S171" s="1" t="s">
        <v>19</v>
      </c>
      <c r="AA171" s="1" t="s">
        <v>54</v>
      </c>
      <c r="AE171" s="1" t="s">
        <v>54</v>
      </c>
      <c r="AI171" s="1" t="s">
        <v>54</v>
      </c>
      <c r="AM171" s="1" t="s">
        <v>54</v>
      </c>
    </row>
    <row r="172" spans="2:48" x14ac:dyDescent="0.25">
      <c r="F172" s="4"/>
      <c r="H172" s="4"/>
      <c r="I172" s="4"/>
      <c r="J172" s="4"/>
      <c r="K172" s="4"/>
      <c r="L172" s="4"/>
      <c r="M172" s="4"/>
      <c r="N172" s="4"/>
      <c r="O172" s="4"/>
      <c r="S172" s="1" t="s">
        <v>19</v>
      </c>
      <c r="U172" s="1" t="s">
        <v>19</v>
      </c>
      <c r="AA172" s="7" t="s">
        <v>55</v>
      </c>
      <c r="AB172" s="7" t="s">
        <v>56</v>
      </c>
      <c r="AC172" s="7" t="s">
        <v>57</v>
      </c>
      <c r="AE172" s="7" t="s">
        <v>55</v>
      </c>
      <c r="AF172" s="7" t="s">
        <v>56</v>
      </c>
      <c r="AG172" s="7" t="s">
        <v>57</v>
      </c>
      <c r="AI172" s="7" t="s">
        <v>55</v>
      </c>
      <c r="AJ172" s="7" t="s">
        <v>56</v>
      </c>
      <c r="AK172" s="7" t="s">
        <v>57</v>
      </c>
      <c r="AM172" s="7" t="s">
        <v>55</v>
      </c>
      <c r="AN172" s="7" t="s">
        <v>56</v>
      </c>
      <c r="AO172" s="7" t="s">
        <v>57</v>
      </c>
    </row>
    <row r="173" spans="2:48" x14ac:dyDescent="0.25">
      <c r="F173" s="4"/>
      <c r="H173" s="4"/>
      <c r="I173" s="4"/>
      <c r="J173" s="4"/>
      <c r="K173" s="4"/>
      <c r="L173" s="4"/>
      <c r="M173" s="4"/>
      <c r="N173" s="4"/>
      <c r="O173" s="4"/>
      <c r="S173" s="1" t="s">
        <v>19</v>
      </c>
      <c r="AA173" s="7" t="s">
        <v>58</v>
      </c>
      <c r="AB173" s="7" t="s">
        <v>58</v>
      </c>
      <c r="AC173" s="7" t="s">
        <v>58</v>
      </c>
      <c r="AE173" s="7" t="s">
        <v>58</v>
      </c>
      <c r="AF173" s="7" t="s">
        <v>58</v>
      </c>
      <c r="AG173" s="7" t="s">
        <v>58</v>
      </c>
      <c r="AI173" s="7" t="s">
        <v>58</v>
      </c>
      <c r="AJ173" s="7" t="s">
        <v>58</v>
      </c>
      <c r="AK173" s="7" t="s">
        <v>58</v>
      </c>
      <c r="AM173" s="7" t="s">
        <v>58</v>
      </c>
      <c r="AN173" s="7" t="s">
        <v>58</v>
      </c>
      <c r="AO173" s="7" t="s">
        <v>58</v>
      </c>
    </row>
    <row r="174" spans="2:48" x14ac:dyDescent="0.25">
      <c r="F174" s="4"/>
      <c r="H174" s="4"/>
      <c r="I174" s="4"/>
      <c r="J174" s="4"/>
      <c r="K174" s="4"/>
      <c r="L174" s="4"/>
      <c r="M174" s="4"/>
      <c r="N174" s="4"/>
      <c r="O174" s="4"/>
      <c r="S174" s="1" t="s">
        <v>19</v>
      </c>
      <c r="X174" s="1" t="s">
        <v>59</v>
      </c>
    </row>
    <row r="175" spans="2:48" x14ac:dyDescent="0.25">
      <c r="H175" s="4"/>
      <c r="X175" s="1" t="s">
        <v>60</v>
      </c>
      <c r="AA175" s="4">
        <v>780</v>
      </c>
      <c r="AB175" s="4">
        <v>778</v>
      </c>
      <c r="AC175" s="4">
        <v>764</v>
      </c>
      <c r="AE175" s="4">
        <v>1060</v>
      </c>
      <c r="AF175" s="4">
        <v>1059</v>
      </c>
      <c r="AG175" s="4">
        <v>1052</v>
      </c>
      <c r="AI175" s="4">
        <v>905</v>
      </c>
      <c r="AJ175" s="4">
        <v>905</v>
      </c>
      <c r="AK175" s="4">
        <v>883</v>
      </c>
      <c r="AM175" s="7" t="s">
        <v>23</v>
      </c>
      <c r="AN175" s="7" t="s">
        <v>23</v>
      </c>
      <c r="AO175" s="7" t="s">
        <v>23</v>
      </c>
      <c r="AT175" s="7" t="s">
        <v>23</v>
      </c>
      <c r="AV175" s="7" t="s">
        <v>23</v>
      </c>
    </row>
    <row r="176" spans="2:48" x14ac:dyDescent="0.25">
      <c r="H176" s="4"/>
    </row>
    <row r="177" spans="8:48" x14ac:dyDescent="0.25">
      <c r="H177" s="4"/>
    </row>
    <row r="178" spans="8:48" x14ac:dyDescent="0.25">
      <c r="H178" s="4"/>
      <c r="AE178" s="1" t="s">
        <v>19</v>
      </c>
      <c r="AF178" s="1" t="s">
        <v>19</v>
      </c>
      <c r="AG178" s="1" t="s">
        <v>19</v>
      </c>
      <c r="AI178" s="1" t="s">
        <v>19</v>
      </c>
      <c r="AJ178" s="1" t="s">
        <v>19</v>
      </c>
      <c r="AK178" s="1" t="s">
        <v>19</v>
      </c>
      <c r="AM178" s="1" t="s">
        <v>19</v>
      </c>
      <c r="AT178" s="10" t="s">
        <v>23</v>
      </c>
      <c r="AV178" s="10" t="s">
        <v>23</v>
      </c>
    </row>
    <row r="179" spans="8:48" x14ac:dyDescent="0.25">
      <c r="H179" s="4"/>
    </row>
    <row r="180" spans="8:48" x14ac:dyDescent="0.25">
      <c r="H180" s="4"/>
      <c r="X180" s="1" t="s">
        <v>61</v>
      </c>
    </row>
    <row r="181" spans="8:48" x14ac:dyDescent="0.25">
      <c r="H181" s="4"/>
      <c r="X181" s="1" t="s">
        <v>62</v>
      </c>
      <c r="AA181" s="11">
        <f>(184353/+AA175)/12</f>
        <v>19.695833333333333</v>
      </c>
      <c r="AB181" s="11">
        <f>192583/778/12</f>
        <v>20.62799914310197</v>
      </c>
      <c r="AC181" s="11">
        <v>21.63</v>
      </c>
      <c r="AE181" s="11">
        <f>(144291/+AE175)/12</f>
        <v>11.343632075471698</v>
      </c>
      <c r="AF181" s="11">
        <f>95160/1059/12</f>
        <v>7.4881964117091604</v>
      </c>
      <c r="AG181" s="11">
        <v>7.09</v>
      </c>
      <c r="AI181" s="11">
        <f>(91201/AI175)/12</f>
        <v>8.397882136279927</v>
      </c>
      <c r="AJ181" s="11">
        <f>53593/905/12</f>
        <v>4.9348987108655615</v>
      </c>
      <c r="AK181" s="11">
        <v>5.22</v>
      </c>
      <c r="AM181" s="11">
        <f>AA181+AE181+AI181</f>
        <v>39.437347545084954</v>
      </c>
      <c r="AN181" s="11">
        <f>AB181+AF181+AJ181</f>
        <v>33.051094265676696</v>
      </c>
      <c r="AO181" s="11">
        <f>AC181+AG181+AK181</f>
        <v>33.94</v>
      </c>
      <c r="AT181" s="11" t="e">
        <v>#VALUE!</v>
      </c>
      <c r="AV181" s="11">
        <f>AK181+AG181+AC181</f>
        <v>33.94</v>
      </c>
    </row>
    <row r="182" spans="8:48" x14ac:dyDescent="0.25">
      <c r="H182" s="4"/>
    </row>
    <row r="183" spans="8:48" x14ac:dyDescent="0.25">
      <c r="H183" s="4"/>
      <c r="X183" s="1" t="s">
        <v>63</v>
      </c>
      <c r="AA183" s="12">
        <f>(179072/+AA175)/12</f>
        <v>19.131623931623931</v>
      </c>
      <c r="AB183" s="12">
        <f>172192/778/12</f>
        <v>18.443873179091689</v>
      </c>
      <c r="AC183" s="12">
        <v>21.18</v>
      </c>
      <c r="AE183" s="12">
        <f>(103596/+AE175)/12</f>
        <v>8.1443396226415086</v>
      </c>
      <c r="AF183" s="12">
        <f>89580/1059/12</f>
        <v>7.0491029272898968</v>
      </c>
      <c r="AG183" s="12">
        <v>6.94</v>
      </c>
      <c r="AI183" s="12">
        <f>(118847/AI175)/12</f>
        <v>10.943554327808471</v>
      </c>
      <c r="AJ183" s="12">
        <f>127825/905/12</f>
        <v>11.77025782688766</v>
      </c>
      <c r="AK183" s="12">
        <v>10.7</v>
      </c>
      <c r="AM183" s="13">
        <f>AA183+AE183+AI183</f>
        <v>38.219517882073909</v>
      </c>
      <c r="AN183" s="13">
        <f>AB183+AF183+AJ183</f>
        <v>37.263233933269248</v>
      </c>
      <c r="AO183" s="13">
        <f>AC183+AG183+AK183</f>
        <v>38.82</v>
      </c>
      <c r="AT183" s="12" t="e">
        <v>#VALUE!</v>
      </c>
      <c r="AV183" s="12">
        <f>AK183+AG183+AC183</f>
        <v>38.82</v>
      </c>
    </row>
    <row r="184" spans="8:48" x14ac:dyDescent="0.25">
      <c r="H184" s="4"/>
      <c r="AA184" s="14" t="s">
        <v>64</v>
      </c>
      <c r="AB184" s="14" t="s">
        <v>64</v>
      </c>
      <c r="AC184" s="14" t="s">
        <v>64</v>
      </c>
      <c r="AE184" s="14" t="s">
        <v>64</v>
      </c>
      <c r="AF184" s="14" t="s">
        <v>64</v>
      </c>
      <c r="AG184" s="14" t="s">
        <v>64</v>
      </c>
      <c r="AI184" s="14" t="s">
        <v>64</v>
      </c>
      <c r="AJ184" s="14" t="s">
        <v>64</v>
      </c>
      <c r="AK184" s="14" t="s">
        <v>64</v>
      </c>
      <c r="AM184" s="14" t="s">
        <v>64</v>
      </c>
      <c r="AN184" s="14" t="s">
        <v>64</v>
      </c>
      <c r="AO184" s="14" t="s">
        <v>64</v>
      </c>
      <c r="AT184" s="10" t="s">
        <v>23</v>
      </c>
      <c r="AV184" s="10" t="s">
        <v>23</v>
      </c>
    </row>
    <row r="185" spans="8:48" x14ac:dyDescent="0.25">
      <c r="H185" s="4"/>
    </row>
    <row r="186" spans="8:48" x14ac:dyDescent="0.25">
      <c r="H186" s="4"/>
      <c r="X186" s="1" t="s">
        <v>65</v>
      </c>
      <c r="AA186" s="12">
        <f>AA181-AA183</f>
        <v>0.5642094017094017</v>
      </c>
      <c r="AB186" s="12">
        <f>AB181-AB183</f>
        <v>2.1841259640102813</v>
      </c>
      <c r="AC186" s="12">
        <f>AC181-AC183</f>
        <v>0.44999999999999929</v>
      </c>
      <c r="AE186" s="12">
        <f>AE181-AE183</f>
        <v>3.1992924528301891</v>
      </c>
      <c r="AF186" s="12">
        <f>AF181-AF183</f>
        <v>0.43909348441926355</v>
      </c>
      <c r="AG186" s="12">
        <f>AG181-AG183</f>
        <v>0.14999999999999947</v>
      </c>
      <c r="AI186" s="12">
        <f>AI181-AI183</f>
        <v>-2.5456721915285438</v>
      </c>
      <c r="AJ186" s="12">
        <f>AJ181-AJ183</f>
        <v>-6.8353591160220981</v>
      </c>
      <c r="AK186" s="12">
        <f>AK181-AK183</f>
        <v>-5.4799999999999995</v>
      </c>
      <c r="AM186" s="12">
        <f>AM181-AM183</f>
        <v>1.2178296630110452</v>
      </c>
      <c r="AN186" s="12">
        <f>AN181-AN183</f>
        <v>-4.2121396675925524</v>
      </c>
      <c r="AO186" s="12">
        <f>AO181-AO183</f>
        <v>-4.8800000000000026</v>
      </c>
      <c r="AT186" s="12" t="e">
        <f>AT181-AT183</f>
        <v>#VALUE!</v>
      </c>
      <c r="AV186" s="12">
        <f>AV181-AV183</f>
        <v>-4.8800000000000026</v>
      </c>
    </row>
    <row r="187" spans="8:48" x14ac:dyDescent="0.25">
      <c r="H187" s="4"/>
    </row>
    <row r="188" spans="8:48" x14ac:dyDescent="0.25">
      <c r="H188" s="4"/>
      <c r="X188" s="1" t="s">
        <v>66</v>
      </c>
    </row>
    <row r="189" spans="8:48" x14ac:dyDescent="0.25">
      <c r="H189" s="4"/>
      <c r="X189" s="1" t="s">
        <v>67</v>
      </c>
      <c r="AA189" s="12">
        <f>(21034/+AA175)/12</f>
        <v>2.2472222222222222</v>
      </c>
      <c r="AB189" s="12">
        <f>20657/778/12</f>
        <v>2.2126178234790062</v>
      </c>
      <c r="AC189" s="12">
        <v>2.15</v>
      </c>
      <c r="AE189" s="12">
        <f>(20847/AE175)/12</f>
        <v>1.6389150943396225</v>
      </c>
      <c r="AF189" s="12">
        <f>16313/1059/12</f>
        <v>1.2836795719231979</v>
      </c>
      <c r="AG189" s="12">
        <v>1.3</v>
      </c>
      <c r="AI189" s="12">
        <f>(26466/AI175)/12</f>
        <v>2.4370165745856354</v>
      </c>
      <c r="AJ189" s="12">
        <f>26417/905/12</f>
        <v>2.4325046040515654</v>
      </c>
      <c r="AK189" s="12">
        <v>2.5299999999999998</v>
      </c>
      <c r="AM189" s="13">
        <f>AA189+AE189+AI189</f>
        <v>6.3231538911474807</v>
      </c>
      <c r="AN189" s="13">
        <f>AB189+AF189+AJ189</f>
        <v>5.9288019994537695</v>
      </c>
      <c r="AO189" s="13">
        <f>AC189+AG189+AK189</f>
        <v>5.98</v>
      </c>
      <c r="AT189" s="12" t="e">
        <v>#VALUE!</v>
      </c>
      <c r="AV189" s="12">
        <f>AK189+AG189+AC189</f>
        <v>5.98</v>
      </c>
    </row>
    <row r="190" spans="8:48" x14ac:dyDescent="0.25">
      <c r="H190" s="4"/>
      <c r="AA190" s="14" t="s">
        <v>64</v>
      </c>
      <c r="AB190" s="14" t="s">
        <v>64</v>
      </c>
      <c r="AC190" s="14" t="s">
        <v>64</v>
      </c>
      <c r="AE190" s="14" t="s">
        <v>64</v>
      </c>
      <c r="AF190" s="14" t="s">
        <v>64</v>
      </c>
      <c r="AG190" s="14" t="s">
        <v>64</v>
      </c>
      <c r="AI190" s="14" t="s">
        <v>64</v>
      </c>
      <c r="AJ190" s="14" t="s">
        <v>64</v>
      </c>
      <c r="AK190" s="14" t="s">
        <v>64</v>
      </c>
      <c r="AM190" s="14" t="s">
        <v>64</v>
      </c>
      <c r="AN190" s="14" t="s">
        <v>64</v>
      </c>
      <c r="AO190" s="14" t="s">
        <v>64</v>
      </c>
      <c r="AT190" s="10" t="s">
        <v>23</v>
      </c>
      <c r="AV190" s="10" t="s">
        <v>23</v>
      </c>
    </row>
    <row r="191" spans="8:48" x14ac:dyDescent="0.25">
      <c r="H191" s="4"/>
    </row>
    <row r="192" spans="8:48" x14ac:dyDescent="0.25">
      <c r="H192" s="4"/>
      <c r="X192" s="1" t="s">
        <v>67</v>
      </c>
    </row>
    <row r="193" spans="8:48" x14ac:dyDescent="0.25">
      <c r="H193" s="4"/>
      <c r="X193" s="1" t="s">
        <v>68</v>
      </c>
      <c r="AA193" s="11">
        <f>AA189+AA186</f>
        <v>2.8114316239316239</v>
      </c>
      <c r="AB193" s="11">
        <f>AB189+AB186</f>
        <v>4.396743787489287</v>
      </c>
      <c r="AC193" s="11">
        <f>AC189+AC186</f>
        <v>2.5999999999999992</v>
      </c>
      <c r="AE193" s="11">
        <f>AE189+AE186</f>
        <v>4.8382075471698114</v>
      </c>
      <c r="AF193" s="11">
        <f>AF189+AF186</f>
        <v>1.7227730563424615</v>
      </c>
      <c r="AG193" s="11">
        <f>AG189+AG186</f>
        <v>1.4499999999999995</v>
      </c>
      <c r="AI193" s="11">
        <f>AI189+AI186</f>
        <v>-0.10865561694290848</v>
      </c>
      <c r="AJ193" s="11">
        <f>AJ189+AJ186</f>
        <v>-4.4028545119705331</v>
      </c>
      <c r="AK193" s="11">
        <f>AK189+AK186</f>
        <v>-2.9499999999999997</v>
      </c>
      <c r="AM193" s="11">
        <f>AM189+AM186</f>
        <v>7.5409835541585259</v>
      </c>
      <c r="AN193" s="11">
        <f>AN189+AN186</f>
        <v>1.7166623318612171</v>
      </c>
      <c r="AO193" s="11">
        <f>AO189+AO186</f>
        <v>1.0999999999999979</v>
      </c>
      <c r="AT193" s="11" t="e">
        <f>AT189+AT186</f>
        <v>#VALUE!</v>
      </c>
      <c r="AV193" s="11">
        <f>AV189+AV186</f>
        <v>1.0999999999999979</v>
      </c>
    </row>
    <row r="194" spans="8:48" x14ac:dyDescent="0.25">
      <c r="H194" s="4"/>
      <c r="AA194" s="15" t="s">
        <v>69</v>
      </c>
      <c r="AB194" s="15" t="s">
        <v>69</v>
      </c>
      <c r="AC194" s="15" t="s">
        <v>69</v>
      </c>
      <c r="AE194" s="15" t="s">
        <v>69</v>
      </c>
      <c r="AF194" s="15" t="s">
        <v>69</v>
      </c>
      <c r="AG194" s="15" t="s">
        <v>69</v>
      </c>
      <c r="AI194" s="15" t="s">
        <v>69</v>
      </c>
      <c r="AJ194" s="15" t="s">
        <v>69</v>
      </c>
      <c r="AK194" s="15" t="s">
        <v>69</v>
      </c>
      <c r="AM194" s="15" t="s">
        <v>69</v>
      </c>
      <c r="AN194" s="15" t="s">
        <v>69</v>
      </c>
      <c r="AO194" s="15" t="s">
        <v>69</v>
      </c>
      <c r="AT194" s="16" t="s">
        <v>70</v>
      </c>
      <c r="AV194" s="16" t="s">
        <v>70</v>
      </c>
    </row>
    <row r="195" spans="8:48" x14ac:dyDescent="0.25">
      <c r="H195" s="4"/>
    </row>
    <row r="196" spans="8:48" x14ac:dyDescent="0.25">
      <c r="H196" s="4"/>
    </row>
    <row r="197" spans="8:48" x14ac:dyDescent="0.25">
      <c r="H197" s="4"/>
    </row>
    <row r="198" spans="8:48" x14ac:dyDescent="0.25">
      <c r="H198" s="4"/>
      <c r="X198" s="1" t="s">
        <v>71</v>
      </c>
    </row>
    <row r="1501" spans="24:24" x14ac:dyDescent="0.25">
      <c r="X1501" s="1" t="s">
        <v>72</v>
      </c>
    </row>
    <row r="1502" spans="24:24" x14ac:dyDescent="0.25">
      <c r="X1502" s="1" t="s">
        <v>73</v>
      </c>
    </row>
  </sheetData>
  <mergeCells count="4">
    <mergeCell ref="A1:H1"/>
    <mergeCell ref="A2:H2"/>
    <mergeCell ref="A3:H3"/>
    <mergeCell ref="A6:H6"/>
  </mergeCells>
  <phoneticPr fontId="0" type="noConversion"/>
  <pageMargins left="1" right="1" top="0.5" bottom="0.25" header="0.25" footer="0"/>
  <pageSetup orientation="portrait" r:id="rId1"/>
  <headerFooter alignWithMargins="0">
    <oddFooter>&amp;L&amp;"Times New Roman,Regular"&amp;9&amp;D &amp;C&amp;"Times New Roman,Regular"&amp;9&amp;Z&amp;F&amp;R&amp;"Times New Roman,Regular"&amp;9&amp;A</oddFooter>
  </headerFooter>
  <rowBreaks count="3" manualBreakCount="3">
    <brk id="88" max="16383" man="1"/>
    <brk id="122" max="16383" man="1"/>
    <brk id="169"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dimension ref="B1:AK1517"/>
  <sheetViews>
    <sheetView showGridLines="0" view="pageBreakPreview" topLeftCell="A25" zoomScale="120" zoomScaleNormal="100" zoomScaleSheetLayoutView="120" workbookViewId="0">
      <selection activeCell="E23" sqref="E23"/>
    </sheetView>
  </sheetViews>
  <sheetFormatPr defaultColWidth="9.77734375" defaultRowHeight="15.75" x14ac:dyDescent="0.25"/>
  <cols>
    <col min="1" max="1" width="15.21875" style="82" customWidth="1"/>
    <col min="2" max="2" width="58.77734375" style="82" customWidth="1"/>
    <col min="3" max="3" width="15.44140625" style="82" customWidth="1"/>
    <col min="4" max="10" width="8.88671875" style="82" customWidth="1"/>
    <col min="11" max="18" width="9.77734375" style="82"/>
    <col min="19" max="19" width="2.77734375" style="82" customWidth="1"/>
    <col min="20" max="22" width="9.77734375" style="82"/>
    <col min="23" max="23" width="2.77734375" style="82" customWidth="1"/>
    <col min="24" max="16384" width="9.77734375" style="82"/>
  </cols>
  <sheetData>
    <row r="1" spans="2:4" x14ac:dyDescent="0.25">
      <c r="B1" s="300" t="s">
        <v>47</v>
      </c>
      <c r="C1" s="117"/>
      <c r="D1" s="165"/>
    </row>
    <row r="2" spans="2:4" x14ac:dyDescent="0.25">
      <c r="B2" s="300" t="s">
        <v>316</v>
      </c>
      <c r="C2" s="117"/>
      <c r="D2" s="165"/>
    </row>
    <row r="3" spans="2:4" x14ac:dyDescent="0.25">
      <c r="B3" s="305" t="s">
        <v>555</v>
      </c>
      <c r="C3" s="117"/>
      <c r="D3" s="165"/>
    </row>
    <row r="4" spans="2:4" x14ac:dyDescent="0.25">
      <c r="B4" s="314"/>
      <c r="C4" s="117"/>
      <c r="D4" s="165"/>
    </row>
    <row r="5" spans="2:4" x14ac:dyDescent="0.25">
      <c r="B5" s="82" t="s">
        <v>19</v>
      </c>
    </row>
    <row r="6" spans="2:4" x14ac:dyDescent="0.25">
      <c r="B6" s="82" t="s">
        <v>556</v>
      </c>
    </row>
    <row r="7" spans="2:4" x14ac:dyDescent="0.25">
      <c r="B7" s="82" t="s">
        <v>557</v>
      </c>
    </row>
    <row r="8" spans="2:4" x14ac:dyDescent="0.25">
      <c r="B8" s="82" t="s">
        <v>440</v>
      </c>
    </row>
    <row r="9" spans="2:4" x14ac:dyDescent="0.25">
      <c r="B9" s="82" t="s">
        <v>302</v>
      </c>
    </row>
    <row r="10" spans="2:4" x14ac:dyDescent="0.25">
      <c r="B10" s="82" t="s">
        <v>303</v>
      </c>
    </row>
    <row r="11" spans="2:4" x14ac:dyDescent="0.25">
      <c r="B11" s="82" t="s">
        <v>304</v>
      </c>
    </row>
    <row r="12" spans="2:4" x14ac:dyDescent="0.25">
      <c r="B12" s="82" t="s">
        <v>305</v>
      </c>
    </row>
    <row r="13" spans="2:4" x14ac:dyDescent="0.25">
      <c r="B13" s="82" t="s">
        <v>306</v>
      </c>
    </row>
    <row r="14" spans="2:4" x14ac:dyDescent="0.25">
      <c r="B14" s="82" t="s">
        <v>307</v>
      </c>
    </row>
    <row r="15" spans="2:4" x14ac:dyDescent="0.25">
      <c r="B15" s="82" t="s">
        <v>308</v>
      </c>
    </row>
    <row r="16" spans="2:4" x14ac:dyDescent="0.25">
      <c r="B16" s="82" t="s">
        <v>309</v>
      </c>
    </row>
    <row r="18" spans="2:14" x14ac:dyDescent="0.25">
      <c r="B18" s="82" t="s">
        <v>293</v>
      </c>
    </row>
    <row r="20" spans="2:14" x14ac:dyDescent="0.25">
      <c r="B20" s="82" t="s">
        <v>300</v>
      </c>
    </row>
    <row r="21" spans="2:14" x14ac:dyDescent="0.25">
      <c r="B21" s="82" t="s">
        <v>558</v>
      </c>
    </row>
    <row r="22" spans="2:14" x14ac:dyDescent="0.25">
      <c r="B22" s="82" t="s">
        <v>301</v>
      </c>
    </row>
    <row r="23" spans="2:14" x14ac:dyDescent="0.25">
      <c r="B23" s="82" t="s">
        <v>449</v>
      </c>
    </row>
    <row r="24" spans="2:14" x14ac:dyDescent="0.25">
      <c r="C24" s="99"/>
      <c r="D24" s="99"/>
    </row>
    <row r="25" spans="2:14" x14ac:dyDescent="0.25">
      <c r="B25" s="82" t="s">
        <v>298</v>
      </c>
      <c r="C25" s="99"/>
      <c r="D25" s="99"/>
    </row>
    <row r="26" spans="2:14" x14ac:dyDescent="0.25">
      <c r="B26" s="82" t="s">
        <v>478</v>
      </c>
    </row>
    <row r="27" spans="2:14" x14ac:dyDescent="0.25">
      <c r="B27" s="82" t="s">
        <v>559</v>
      </c>
    </row>
    <row r="29" spans="2:14" x14ac:dyDescent="0.25">
      <c r="B29" s="82" t="s">
        <v>294</v>
      </c>
      <c r="N29" s="82" t="s">
        <v>19</v>
      </c>
    </row>
    <row r="30" spans="2:14" x14ac:dyDescent="0.25">
      <c r="B30" s="82" t="s">
        <v>295</v>
      </c>
    </row>
    <row r="31" spans="2:14" x14ac:dyDescent="0.25">
      <c r="B31" s="82" t="s">
        <v>541</v>
      </c>
    </row>
    <row r="32" spans="2:14" x14ac:dyDescent="0.25">
      <c r="B32" s="82" t="s">
        <v>542</v>
      </c>
    </row>
    <row r="33" spans="2:2" x14ac:dyDescent="0.25">
      <c r="B33" s="130"/>
    </row>
    <row r="34" spans="2:2" x14ac:dyDescent="0.25">
      <c r="B34" s="130"/>
    </row>
    <row r="35" spans="2:2" x14ac:dyDescent="0.25">
      <c r="B35" s="82" t="s">
        <v>543</v>
      </c>
    </row>
    <row r="36" spans="2:2" x14ac:dyDescent="0.25">
      <c r="B36" s="82" t="s">
        <v>560</v>
      </c>
    </row>
    <row r="38" spans="2:2" x14ac:dyDescent="0.25">
      <c r="B38" s="82" t="s">
        <v>310</v>
      </c>
    </row>
    <row r="39" spans="2:2" x14ac:dyDescent="0.25">
      <c r="B39" s="82" t="s">
        <v>311</v>
      </c>
    </row>
    <row r="40" spans="2:2" x14ac:dyDescent="0.25">
      <c r="B40" s="82" t="s">
        <v>312</v>
      </c>
    </row>
    <row r="41" spans="2:2" x14ac:dyDescent="0.25">
      <c r="B41" s="82" t="s">
        <v>313</v>
      </c>
    </row>
    <row r="42" spans="2:2" x14ac:dyDescent="0.25">
      <c r="B42" s="82" t="s">
        <v>314</v>
      </c>
    </row>
    <row r="43" spans="2:2" x14ac:dyDescent="0.25">
      <c r="B43" s="82" t="s">
        <v>315</v>
      </c>
    </row>
    <row r="46" spans="2:2" x14ac:dyDescent="0.25">
      <c r="B46" s="82" t="s">
        <v>296</v>
      </c>
    </row>
    <row r="48" spans="2:2" x14ac:dyDescent="0.25">
      <c r="B48" s="82" t="s">
        <v>297</v>
      </c>
    </row>
    <row r="137" spans="36:36" x14ac:dyDescent="0.25">
      <c r="AJ137" s="82" t="s">
        <v>45</v>
      </c>
    </row>
    <row r="138" spans="36:36" x14ac:dyDescent="0.25">
      <c r="AJ138" s="82" t="s">
        <v>46</v>
      </c>
    </row>
    <row r="179" spans="11:37" x14ac:dyDescent="0.25">
      <c r="V179" s="82" t="s">
        <v>47</v>
      </c>
    </row>
    <row r="181" spans="11:37" x14ac:dyDescent="0.25">
      <c r="T181" s="82" t="s">
        <v>48</v>
      </c>
    </row>
    <row r="182" spans="11:37" x14ac:dyDescent="0.25">
      <c r="K182" s="82" t="s">
        <v>19</v>
      </c>
    </row>
    <row r="185" spans="11:37" x14ac:dyDescent="0.25">
      <c r="Q185" s="82" t="s">
        <v>50</v>
      </c>
      <c r="U185" s="82" t="s">
        <v>51</v>
      </c>
      <c r="Y185" s="82" t="s">
        <v>52</v>
      </c>
      <c r="AC185" s="82" t="s">
        <v>53</v>
      </c>
    </row>
    <row r="186" spans="11:37" x14ac:dyDescent="0.25">
      <c r="P186" s="82" t="s">
        <v>54</v>
      </c>
      <c r="T186" s="82" t="s">
        <v>54</v>
      </c>
      <c r="X186" s="82" t="s">
        <v>54</v>
      </c>
      <c r="AB186" s="82" t="s">
        <v>54</v>
      </c>
    </row>
    <row r="187" spans="11:37" x14ac:dyDescent="0.25">
      <c r="P187" s="131" t="s">
        <v>55</v>
      </c>
      <c r="Q187" s="131" t="s">
        <v>56</v>
      </c>
      <c r="R187" s="131" t="s">
        <v>57</v>
      </c>
      <c r="T187" s="131" t="s">
        <v>55</v>
      </c>
      <c r="U187" s="131" t="s">
        <v>56</v>
      </c>
      <c r="V187" s="131" t="s">
        <v>57</v>
      </c>
      <c r="X187" s="131" t="s">
        <v>55</v>
      </c>
      <c r="Y187" s="131" t="s">
        <v>56</v>
      </c>
      <c r="Z187" s="131" t="s">
        <v>57</v>
      </c>
      <c r="AB187" s="131" t="s">
        <v>55</v>
      </c>
      <c r="AC187" s="131" t="s">
        <v>56</v>
      </c>
      <c r="AD187" s="131" t="s">
        <v>57</v>
      </c>
    </row>
    <row r="188" spans="11:37" x14ac:dyDescent="0.25">
      <c r="P188" s="131" t="s">
        <v>58</v>
      </c>
      <c r="Q188" s="131" t="s">
        <v>58</v>
      </c>
      <c r="R188" s="131" t="s">
        <v>58</v>
      </c>
      <c r="T188" s="131" t="s">
        <v>58</v>
      </c>
      <c r="U188" s="131" t="s">
        <v>58</v>
      </c>
      <c r="V188" s="131" t="s">
        <v>58</v>
      </c>
      <c r="X188" s="131" t="s">
        <v>58</v>
      </c>
      <c r="Y188" s="131" t="s">
        <v>58</v>
      </c>
      <c r="Z188" s="131" t="s">
        <v>58</v>
      </c>
      <c r="AB188" s="131" t="s">
        <v>58</v>
      </c>
      <c r="AC188" s="131" t="s">
        <v>58</v>
      </c>
      <c r="AD188" s="131" t="s">
        <v>58</v>
      </c>
    </row>
    <row r="189" spans="11:37" x14ac:dyDescent="0.25">
      <c r="M189" s="82" t="s">
        <v>59</v>
      </c>
    </row>
    <row r="190" spans="11:37" x14ac:dyDescent="0.25">
      <c r="M190" s="82" t="s">
        <v>60</v>
      </c>
      <c r="P190" s="94">
        <v>780</v>
      </c>
      <c r="Q190" s="94">
        <v>778</v>
      </c>
      <c r="R190" s="94">
        <v>764</v>
      </c>
      <c r="T190" s="94">
        <v>1060</v>
      </c>
      <c r="U190" s="94">
        <v>1059</v>
      </c>
      <c r="V190" s="94">
        <v>1052</v>
      </c>
      <c r="X190" s="94">
        <v>905</v>
      </c>
      <c r="Y190" s="94">
        <v>905</v>
      </c>
      <c r="Z190" s="94">
        <v>883</v>
      </c>
      <c r="AB190" s="131" t="s">
        <v>23</v>
      </c>
      <c r="AC190" s="131" t="s">
        <v>23</v>
      </c>
      <c r="AD190" s="131" t="s">
        <v>23</v>
      </c>
      <c r="AI190" s="131" t="s">
        <v>23</v>
      </c>
      <c r="AK190" s="131" t="s">
        <v>23</v>
      </c>
    </row>
    <row r="193" spans="13:37" x14ac:dyDescent="0.25">
      <c r="T193" s="82" t="s">
        <v>19</v>
      </c>
      <c r="U193" s="82" t="s">
        <v>19</v>
      </c>
      <c r="V193" s="82" t="s">
        <v>19</v>
      </c>
      <c r="X193" s="82" t="s">
        <v>19</v>
      </c>
      <c r="Y193" s="82" t="s">
        <v>19</v>
      </c>
      <c r="Z193" s="82" t="s">
        <v>19</v>
      </c>
      <c r="AB193" s="82" t="s">
        <v>19</v>
      </c>
      <c r="AI193" s="132" t="s">
        <v>23</v>
      </c>
      <c r="AK193" s="132" t="s">
        <v>23</v>
      </c>
    </row>
    <row r="195" spans="13:37" x14ac:dyDescent="0.25">
      <c r="M195" s="82" t="s">
        <v>61</v>
      </c>
    </row>
    <row r="196" spans="13:37" x14ac:dyDescent="0.25">
      <c r="M196" s="82" t="s">
        <v>62</v>
      </c>
      <c r="P196" s="133">
        <f>(184353/+P190)/12</f>
        <v>19.695833333333333</v>
      </c>
      <c r="Q196" s="133">
        <f>192583/778/12</f>
        <v>20.62799914310197</v>
      </c>
      <c r="R196" s="133">
        <v>21.63</v>
      </c>
      <c r="T196" s="133">
        <f>(144291/+T190)/12</f>
        <v>11.343632075471698</v>
      </c>
      <c r="U196" s="133">
        <f>95160/1059/12</f>
        <v>7.4881964117091604</v>
      </c>
      <c r="V196" s="133">
        <v>7.09</v>
      </c>
      <c r="X196" s="133">
        <f>(91201/X190)/12</f>
        <v>8.397882136279927</v>
      </c>
      <c r="Y196" s="133">
        <f>53593/905/12</f>
        <v>4.9348987108655615</v>
      </c>
      <c r="Z196" s="133">
        <v>5.22</v>
      </c>
      <c r="AB196" s="133">
        <f>P196+T196+X196</f>
        <v>39.437347545084954</v>
      </c>
      <c r="AC196" s="133">
        <f>Q196+U196+Y196</f>
        <v>33.051094265676696</v>
      </c>
      <c r="AD196" s="133">
        <f>R196+V196+Z196</f>
        <v>33.94</v>
      </c>
      <c r="AI196" s="133" t="e">
        <v>#VALUE!</v>
      </c>
      <c r="AK196" s="133">
        <f>Z196+V196+R196</f>
        <v>33.94</v>
      </c>
    </row>
    <row r="198" spans="13:37" x14ac:dyDescent="0.25">
      <c r="M198" s="82" t="s">
        <v>63</v>
      </c>
      <c r="P198" s="134">
        <f>(179072/+P190)/12</f>
        <v>19.131623931623931</v>
      </c>
      <c r="Q198" s="134">
        <f>172192/778/12</f>
        <v>18.443873179091689</v>
      </c>
      <c r="R198" s="134">
        <v>21.18</v>
      </c>
      <c r="T198" s="134">
        <f>(103596/+T190)/12</f>
        <v>8.1443396226415086</v>
      </c>
      <c r="U198" s="134">
        <f>89580/1059/12</f>
        <v>7.0491029272898968</v>
      </c>
      <c r="V198" s="134">
        <v>6.94</v>
      </c>
      <c r="X198" s="134">
        <f>(118847/X190)/12</f>
        <v>10.943554327808471</v>
      </c>
      <c r="Y198" s="134">
        <f>127825/905/12</f>
        <v>11.77025782688766</v>
      </c>
      <c r="Z198" s="134">
        <v>10.7</v>
      </c>
      <c r="AB198" s="135">
        <f>P198+T198+X198</f>
        <v>38.219517882073909</v>
      </c>
      <c r="AC198" s="135">
        <f>Q198+U198+Y198</f>
        <v>37.263233933269248</v>
      </c>
      <c r="AD198" s="135">
        <f>R198+V198+Z198</f>
        <v>38.82</v>
      </c>
      <c r="AI198" s="134" t="e">
        <v>#VALUE!</v>
      </c>
      <c r="AK198" s="134">
        <f>Z198+V198+R198</f>
        <v>38.82</v>
      </c>
    </row>
    <row r="199" spans="13:37" x14ac:dyDescent="0.25">
      <c r="P199" s="136" t="s">
        <v>64</v>
      </c>
      <c r="Q199" s="136" t="s">
        <v>64</v>
      </c>
      <c r="R199" s="136" t="s">
        <v>64</v>
      </c>
      <c r="T199" s="136" t="s">
        <v>64</v>
      </c>
      <c r="U199" s="136" t="s">
        <v>64</v>
      </c>
      <c r="V199" s="136" t="s">
        <v>64</v>
      </c>
      <c r="X199" s="136" t="s">
        <v>64</v>
      </c>
      <c r="Y199" s="136" t="s">
        <v>64</v>
      </c>
      <c r="Z199" s="136" t="s">
        <v>64</v>
      </c>
      <c r="AB199" s="136" t="s">
        <v>64</v>
      </c>
      <c r="AC199" s="136" t="s">
        <v>64</v>
      </c>
      <c r="AD199" s="136" t="s">
        <v>64</v>
      </c>
      <c r="AI199" s="132" t="s">
        <v>23</v>
      </c>
      <c r="AK199" s="132" t="s">
        <v>23</v>
      </c>
    </row>
    <row r="201" spans="13:37" x14ac:dyDescent="0.25">
      <c r="M201" s="82" t="s">
        <v>65</v>
      </c>
      <c r="P201" s="134">
        <f>P196-P198</f>
        <v>0.5642094017094017</v>
      </c>
      <c r="Q201" s="134">
        <f>Q196-Q198</f>
        <v>2.1841259640102813</v>
      </c>
      <c r="R201" s="134">
        <f>R196-R198</f>
        <v>0.44999999999999929</v>
      </c>
      <c r="T201" s="134">
        <f>T196-T198</f>
        <v>3.1992924528301891</v>
      </c>
      <c r="U201" s="134">
        <f>U196-U198</f>
        <v>0.43909348441926355</v>
      </c>
      <c r="V201" s="134">
        <f>V196-V198</f>
        <v>0.14999999999999947</v>
      </c>
      <c r="X201" s="134">
        <f>X196-X198</f>
        <v>-2.5456721915285438</v>
      </c>
      <c r="Y201" s="134">
        <f>Y196-Y198</f>
        <v>-6.8353591160220981</v>
      </c>
      <c r="Z201" s="134">
        <f>Z196-Z198</f>
        <v>-5.4799999999999995</v>
      </c>
      <c r="AB201" s="134">
        <f>AB196-AB198</f>
        <v>1.2178296630110452</v>
      </c>
      <c r="AC201" s="134">
        <f>AC196-AC198</f>
        <v>-4.2121396675925524</v>
      </c>
      <c r="AD201" s="134">
        <f>AD196-AD198</f>
        <v>-4.8800000000000026</v>
      </c>
      <c r="AI201" s="134" t="e">
        <f>AI196-AI198</f>
        <v>#VALUE!</v>
      </c>
      <c r="AK201" s="134">
        <f>AK196-AK198</f>
        <v>-4.8800000000000026</v>
      </c>
    </row>
    <row r="203" spans="13:37" x14ac:dyDescent="0.25">
      <c r="M203" s="82" t="s">
        <v>66</v>
      </c>
    </row>
    <row r="204" spans="13:37" x14ac:dyDescent="0.25">
      <c r="M204" s="82" t="s">
        <v>67</v>
      </c>
      <c r="P204" s="134">
        <f>(21034/+P190)/12</f>
        <v>2.2472222222222222</v>
      </c>
      <c r="Q204" s="134">
        <f>20657/778/12</f>
        <v>2.2126178234790062</v>
      </c>
      <c r="R204" s="134">
        <v>2.15</v>
      </c>
      <c r="T204" s="134">
        <f>(20847/T190)/12</f>
        <v>1.6389150943396225</v>
      </c>
      <c r="U204" s="134">
        <f>16313/1059/12</f>
        <v>1.2836795719231979</v>
      </c>
      <c r="V204" s="134">
        <v>1.3</v>
      </c>
      <c r="X204" s="134">
        <f>(26466/X190)/12</f>
        <v>2.4370165745856354</v>
      </c>
      <c r="Y204" s="134">
        <f>26417/905/12</f>
        <v>2.4325046040515654</v>
      </c>
      <c r="Z204" s="134">
        <v>2.5299999999999998</v>
      </c>
      <c r="AB204" s="135">
        <f>P204+T204+X204</f>
        <v>6.3231538911474807</v>
      </c>
      <c r="AC204" s="135">
        <f>Q204+U204+Y204</f>
        <v>5.9288019994537695</v>
      </c>
      <c r="AD204" s="135">
        <f>R204+V204+Z204</f>
        <v>5.98</v>
      </c>
      <c r="AI204" s="134" t="e">
        <v>#VALUE!</v>
      </c>
      <c r="AK204" s="134">
        <f>Z204+V204+R204</f>
        <v>5.98</v>
      </c>
    </row>
    <row r="205" spans="13:37" x14ac:dyDescent="0.25">
      <c r="P205" s="136" t="s">
        <v>64</v>
      </c>
      <c r="Q205" s="136" t="s">
        <v>64</v>
      </c>
      <c r="R205" s="136" t="s">
        <v>64</v>
      </c>
      <c r="T205" s="136" t="s">
        <v>64</v>
      </c>
      <c r="U205" s="136" t="s">
        <v>64</v>
      </c>
      <c r="V205" s="136" t="s">
        <v>64</v>
      </c>
      <c r="X205" s="136" t="s">
        <v>64</v>
      </c>
      <c r="Y205" s="136" t="s">
        <v>64</v>
      </c>
      <c r="Z205" s="136" t="s">
        <v>64</v>
      </c>
      <c r="AB205" s="136" t="s">
        <v>64</v>
      </c>
      <c r="AC205" s="136" t="s">
        <v>64</v>
      </c>
      <c r="AD205" s="136" t="s">
        <v>64</v>
      </c>
      <c r="AI205" s="132" t="s">
        <v>23</v>
      </c>
      <c r="AK205" s="132" t="s">
        <v>23</v>
      </c>
    </row>
    <row r="207" spans="13:37" x14ac:dyDescent="0.25">
      <c r="M207" s="82" t="s">
        <v>67</v>
      </c>
    </row>
    <row r="208" spans="13:37" x14ac:dyDescent="0.25">
      <c r="M208" s="82" t="s">
        <v>68</v>
      </c>
      <c r="P208" s="133">
        <f>P204+P201</f>
        <v>2.8114316239316239</v>
      </c>
      <c r="Q208" s="133">
        <f>Q204+Q201</f>
        <v>4.396743787489287</v>
      </c>
      <c r="R208" s="133">
        <f>R204+R201</f>
        <v>2.5999999999999992</v>
      </c>
      <c r="T208" s="133">
        <f>T204+T201</f>
        <v>4.8382075471698114</v>
      </c>
      <c r="U208" s="133">
        <f>U204+U201</f>
        <v>1.7227730563424615</v>
      </c>
      <c r="V208" s="133">
        <f>V204+V201</f>
        <v>1.4499999999999995</v>
      </c>
      <c r="X208" s="133">
        <f>X204+X201</f>
        <v>-0.10865561694290848</v>
      </c>
      <c r="Y208" s="133">
        <f>Y204+Y201</f>
        <v>-4.4028545119705331</v>
      </c>
      <c r="Z208" s="133">
        <f>Z204+Z201</f>
        <v>-2.9499999999999997</v>
      </c>
      <c r="AB208" s="133">
        <f>AB204+AB201</f>
        <v>7.5409835541585259</v>
      </c>
      <c r="AC208" s="133">
        <f>AC204+AC201</f>
        <v>1.7166623318612171</v>
      </c>
      <c r="AD208" s="133">
        <f>AD204+AD201</f>
        <v>1.0999999999999979</v>
      </c>
      <c r="AI208" s="133" t="e">
        <f>AI204+AI201</f>
        <v>#VALUE!</v>
      </c>
      <c r="AK208" s="133">
        <f>AK204+AK201</f>
        <v>1.0999999999999979</v>
      </c>
    </row>
    <row r="209" spans="13:37" x14ac:dyDescent="0.25">
      <c r="P209" s="137" t="s">
        <v>69</v>
      </c>
      <c r="Q209" s="137" t="s">
        <v>69</v>
      </c>
      <c r="R209" s="137" t="s">
        <v>69</v>
      </c>
      <c r="T209" s="137" t="s">
        <v>69</v>
      </c>
      <c r="U209" s="137" t="s">
        <v>69</v>
      </c>
      <c r="V209" s="137" t="s">
        <v>69</v>
      </c>
      <c r="X209" s="137" t="s">
        <v>69</v>
      </c>
      <c r="Y209" s="137" t="s">
        <v>69</v>
      </c>
      <c r="Z209" s="137" t="s">
        <v>69</v>
      </c>
      <c r="AB209" s="137" t="s">
        <v>69</v>
      </c>
      <c r="AC209" s="137" t="s">
        <v>69</v>
      </c>
      <c r="AD209" s="137" t="s">
        <v>69</v>
      </c>
      <c r="AI209" s="138" t="s">
        <v>70</v>
      </c>
      <c r="AK209" s="138" t="s">
        <v>70</v>
      </c>
    </row>
    <row r="213" spans="13:37" x14ac:dyDescent="0.25">
      <c r="M213" s="82" t="s">
        <v>71</v>
      </c>
    </row>
    <row r="1516" spans="13:13" x14ac:dyDescent="0.25">
      <c r="M1516" s="82" t="s">
        <v>72</v>
      </c>
    </row>
    <row r="1517" spans="13:13" x14ac:dyDescent="0.25">
      <c r="M1517" s="82" t="s">
        <v>73</v>
      </c>
    </row>
  </sheetData>
  <pageMargins left="0.25" right="0.25" top="0.25" bottom="0.25" header="0.25" footer="0"/>
  <pageSetup scale="95" orientation="portrait" horizontalDpi="4294967293" verticalDpi="4294967293" r:id="rId1"/>
  <headerFooter alignWithMargins="0">
    <oddFooter>&amp;L&amp;"Times New Roman,Regular"&amp;9&amp;D &amp;C&amp;"Times New Roman,Regular"&amp;9&amp;Z&amp;F&amp;R&amp;"Times New Roman,Regular"&amp;9&amp;A</oddFooter>
  </headerFooter>
  <rowBreaks count="4" manualBreakCount="4">
    <brk id="48" max="16383" man="1"/>
    <brk id="103" max="16383" man="1"/>
    <brk id="137" max="16383" man="1"/>
    <brk id="184"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Z656"/>
  <sheetViews>
    <sheetView tabSelected="1" view="pageBreakPreview" topLeftCell="A16" zoomScale="90" zoomScaleNormal="75" zoomScaleSheetLayoutView="90" workbookViewId="0">
      <selection activeCell="D27" sqref="D27"/>
    </sheetView>
  </sheetViews>
  <sheetFormatPr defaultColWidth="9.77734375" defaultRowHeight="15.75" x14ac:dyDescent="0.25"/>
  <cols>
    <col min="1" max="1" width="30.88671875" style="1" customWidth="1"/>
    <col min="2" max="2" width="11.5546875" style="98" customWidth="1"/>
    <col min="3" max="3" width="1.77734375" style="1" customWidth="1"/>
    <col min="4" max="4" width="10.77734375" style="22" customWidth="1"/>
    <col min="5" max="5" width="1.77734375" style="1" customWidth="1"/>
    <col min="6" max="6" width="11" style="22" customWidth="1"/>
    <col min="7" max="7" width="2" style="1" customWidth="1"/>
    <col min="8" max="8" width="10.88671875" style="22" customWidth="1"/>
    <col min="9" max="9" width="1.77734375" style="1" customWidth="1"/>
    <col min="10" max="10" width="10.44140625" style="22" customWidth="1"/>
    <col min="11" max="11" width="1.77734375" style="1" customWidth="1"/>
    <col min="12" max="12" width="9.88671875" style="22" customWidth="1"/>
    <col min="13" max="13" width="1.77734375" style="1" customWidth="1"/>
    <col min="14" max="14" width="12.77734375" style="22" customWidth="1"/>
    <col min="15" max="15" width="1.77734375" style="1" customWidth="1"/>
    <col min="16" max="16" width="11" style="22" bestFit="1" customWidth="1"/>
    <col min="17" max="17" width="3.77734375" style="1" customWidth="1"/>
    <col min="18" max="18" width="9.88671875" style="1" bestFit="1" customWidth="1"/>
    <col min="19" max="16384" width="9.77734375" style="1"/>
  </cols>
  <sheetData>
    <row r="1" spans="1:16" ht="15" customHeight="1" x14ac:dyDescent="0.25">
      <c r="F1" s="25" t="s">
        <v>74</v>
      </c>
    </row>
    <row r="2" spans="1:16" ht="15" customHeight="1" x14ac:dyDescent="0.25">
      <c r="A2" s="19" t="s">
        <v>47</v>
      </c>
      <c r="B2" s="126"/>
      <c r="C2" s="20"/>
      <c r="D2" s="18"/>
      <c r="E2" s="20"/>
      <c r="G2" s="18"/>
      <c r="H2" s="20"/>
      <c r="I2" s="18"/>
      <c r="J2" s="20"/>
      <c r="K2" s="18"/>
      <c r="L2" s="20"/>
      <c r="M2" s="18"/>
      <c r="N2" s="20"/>
      <c r="O2" s="18"/>
      <c r="P2" s="20"/>
    </row>
    <row r="3" spans="1:16" ht="15" customHeight="1" x14ac:dyDescent="0.25">
      <c r="A3" s="19" t="s">
        <v>225</v>
      </c>
      <c r="B3" s="126"/>
      <c r="C3" s="20"/>
      <c r="D3" s="18"/>
      <c r="E3" s="20"/>
      <c r="G3" s="18"/>
      <c r="H3" s="20"/>
      <c r="I3" s="18"/>
      <c r="J3" s="20"/>
      <c r="K3" s="18"/>
      <c r="L3" s="20"/>
      <c r="M3" s="18"/>
      <c r="N3" s="20"/>
      <c r="O3" s="18"/>
      <c r="P3" s="20"/>
    </row>
    <row r="4" spans="1:16" ht="15" customHeight="1" x14ac:dyDescent="0.25">
      <c r="A4" s="21">
        <v>43738</v>
      </c>
      <c r="B4" s="126"/>
      <c r="C4" s="20"/>
      <c r="D4" s="18"/>
      <c r="E4" s="20"/>
      <c r="G4" s="18"/>
      <c r="H4" s="20"/>
      <c r="I4" s="18"/>
      <c r="J4" s="20"/>
      <c r="K4" s="18"/>
      <c r="L4" s="20"/>
      <c r="M4" s="18"/>
      <c r="N4" s="20"/>
      <c r="O4" s="18"/>
      <c r="P4" s="20"/>
    </row>
    <row r="5" spans="1:16" ht="15" customHeight="1" x14ac:dyDescent="0.25"/>
    <row r="6" spans="1:16" ht="15" customHeight="1" x14ac:dyDescent="0.25">
      <c r="G6" s="23"/>
    </row>
    <row r="7" spans="1:16" ht="17.25" customHeight="1" x14ac:dyDescent="0.25">
      <c r="A7" s="81"/>
      <c r="B7" s="320" t="s">
        <v>220</v>
      </c>
      <c r="C7" s="154"/>
      <c r="D7" s="321"/>
      <c r="E7" s="154"/>
      <c r="F7" s="321"/>
      <c r="G7" s="23"/>
      <c r="H7" s="24"/>
      <c r="I7" s="6"/>
      <c r="J7" s="24" t="s">
        <v>444</v>
      </c>
      <c r="K7" s="6"/>
      <c r="L7" s="24"/>
      <c r="M7" s="6"/>
      <c r="N7" s="24"/>
      <c r="O7" s="6"/>
      <c r="P7" s="24"/>
    </row>
    <row r="8" spans="1:16" ht="15" customHeight="1" x14ac:dyDescent="0.25">
      <c r="A8" s="81"/>
      <c r="B8" s="322"/>
      <c r="C8" s="81"/>
      <c r="D8" s="160"/>
      <c r="E8" s="81"/>
      <c r="F8" s="160"/>
      <c r="G8" s="23"/>
      <c r="J8" s="25" t="s">
        <v>75</v>
      </c>
      <c r="L8" s="25" t="s">
        <v>76</v>
      </c>
      <c r="N8" s="25" t="s">
        <v>77</v>
      </c>
    </row>
    <row r="9" spans="1:16" ht="15" customHeight="1" x14ac:dyDescent="0.25">
      <c r="A9" s="81"/>
      <c r="B9" s="323">
        <v>2017</v>
      </c>
      <c r="C9" s="324"/>
      <c r="D9" s="325">
        <v>2018</v>
      </c>
      <c r="E9" s="324"/>
      <c r="F9" s="325">
        <f>D9+1</f>
        <v>2019</v>
      </c>
      <c r="G9" s="23"/>
      <c r="H9" s="25" t="s">
        <v>78</v>
      </c>
      <c r="J9" s="25" t="s">
        <v>79</v>
      </c>
      <c r="L9" s="25" t="s">
        <v>80</v>
      </c>
      <c r="N9" s="25" t="s">
        <v>81</v>
      </c>
      <c r="P9" s="25" t="s">
        <v>82</v>
      </c>
    </row>
    <row r="10" spans="1:16" ht="17.25" customHeight="1" x14ac:dyDescent="0.25">
      <c r="A10" s="81"/>
      <c r="B10" s="242" t="s">
        <v>83</v>
      </c>
      <c r="C10" s="81"/>
      <c r="D10" s="326" t="s">
        <v>84</v>
      </c>
      <c r="E10" s="81"/>
      <c r="F10" s="326" t="s">
        <v>85</v>
      </c>
      <c r="G10" s="23"/>
      <c r="H10" s="28" t="s">
        <v>86</v>
      </c>
      <c r="J10" s="28" t="s">
        <v>87</v>
      </c>
      <c r="L10" s="28" t="s">
        <v>86</v>
      </c>
      <c r="N10" s="29" t="s">
        <v>86</v>
      </c>
      <c r="P10" s="28" t="s">
        <v>86</v>
      </c>
    </row>
    <row r="11" spans="1:16" ht="15" customHeight="1" x14ac:dyDescent="0.25">
      <c r="A11" s="156" t="s">
        <v>0</v>
      </c>
      <c r="B11" s="322"/>
      <c r="C11" s="81"/>
      <c r="D11" s="160"/>
      <c r="E11" s="81"/>
      <c r="F11" s="160"/>
      <c r="G11" s="23"/>
    </row>
    <row r="12" spans="1:16" ht="15" customHeight="1" x14ac:dyDescent="0.25">
      <c r="A12" s="81" t="s">
        <v>1</v>
      </c>
      <c r="B12" s="327">
        <f>'General Fund'!C10+'Sales Tax Funds'!N12</f>
        <v>785759</v>
      </c>
      <c r="C12" s="81"/>
      <c r="D12" s="327">
        <f>'General Fund'!E10+'Sales Tax Funds'!P12</f>
        <v>802916</v>
      </c>
      <c r="E12" s="81"/>
      <c r="F12" s="327">
        <f>'General Fund'!G10+'Sales Tax Funds'!R12</f>
        <v>802400</v>
      </c>
      <c r="G12" s="23"/>
      <c r="H12" s="30">
        <f>'General Fund'!G10</f>
        <v>168400</v>
      </c>
      <c r="J12" s="30">
        <f>'Sales Tax Funds'!R12</f>
        <v>634000</v>
      </c>
      <c r="L12" s="285">
        <f>0</f>
        <v>0</v>
      </c>
      <c r="M12" s="188"/>
      <c r="N12" s="285">
        <v>0</v>
      </c>
      <c r="O12" s="285"/>
      <c r="P12" s="285">
        <v>0</v>
      </c>
    </row>
    <row r="13" spans="1:16" ht="15" customHeight="1" x14ac:dyDescent="0.25">
      <c r="A13" s="81" t="s">
        <v>2</v>
      </c>
      <c r="B13" s="328">
        <f>'General Fund'!C11</f>
        <v>96820</v>
      </c>
      <c r="C13" s="155"/>
      <c r="D13" s="328">
        <f>'General Fund'!E11</f>
        <v>100295</v>
      </c>
      <c r="E13" s="155"/>
      <c r="F13" s="328">
        <f>'General Fund'!G11</f>
        <v>100300</v>
      </c>
      <c r="G13" s="32"/>
      <c r="H13" s="313">
        <f>'General Fund'!G11</f>
        <v>100300</v>
      </c>
      <c r="I13" s="4"/>
      <c r="J13" s="197">
        <v>0</v>
      </c>
      <c r="K13" s="197"/>
      <c r="L13" s="197">
        <v>0</v>
      </c>
      <c r="M13" s="197"/>
      <c r="N13" s="197">
        <v>0</v>
      </c>
      <c r="O13" s="197"/>
      <c r="P13" s="197">
        <v>0</v>
      </c>
    </row>
    <row r="14" spans="1:16" ht="15" customHeight="1" x14ac:dyDescent="0.25">
      <c r="A14" s="81" t="s">
        <v>3</v>
      </c>
      <c r="B14" s="328">
        <f>+'General Fund'!C12+'Sales Tax Funds'!N13</f>
        <v>157071</v>
      </c>
      <c r="C14" s="155"/>
      <c r="D14" s="328">
        <f>+'General Fund'!E12+'Sales Tax Funds'!P13</f>
        <v>150836</v>
      </c>
      <c r="E14" s="155"/>
      <c r="F14" s="328">
        <f>+'General Fund'!G12+'Sales Tax Funds'!R13</f>
        <v>110263</v>
      </c>
      <c r="G14" s="32"/>
      <c r="H14" s="31">
        <f>'General Fund'!G12</f>
        <v>110263</v>
      </c>
      <c r="I14" s="4"/>
      <c r="J14" s="31">
        <v>0</v>
      </c>
      <c r="K14" s="197"/>
      <c r="L14" s="197">
        <v>0</v>
      </c>
      <c r="M14" s="197"/>
      <c r="N14" s="197">
        <f>'capital projects fund'!I13</f>
        <v>0</v>
      </c>
      <c r="O14" s="197"/>
      <c r="P14" s="197">
        <v>0</v>
      </c>
    </row>
    <row r="15" spans="1:16" ht="15" customHeight="1" x14ac:dyDescent="0.25">
      <c r="A15" s="81" t="s">
        <v>4</v>
      </c>
      <c r="B15" s="328">
        <f>'General Fund'!C13</f>
        <v>464664</v>
      </c>
      <c r="C15" s="155"/>
      <c r="D15" s="328">
        <f>'General Fund'!E13</f>
        <v>430774</v>
      </c>
      <c r="E15" s="155"/>
      <c r="F15" s="328">
        <f>'General Fund'!G13</f>
        <v>450000</v>
      </c>
      <c r="G15" s="32"/>
      <c r="H15" s="31">
        <f>'General Fund'!G13</f>
        <v>450000</v>
      </c>
      <c r="I15" s="4"/>
      <c r="J15" s="197">
        <v>0</v>
      </c>
      <c r="K15" s="197"/>
      <c r="L15" s="197">
        <v>0</v>
      </c>
      <c r="M15" s="197"/>
      <c r="N15" s="197">
        <v>0</v>
      </c>
      <c r="O15" s="197"/>
      <c r="P15" s="197">
        <v>0</v>
      </c>
    </row>
    <row r="16" spans="1:16" ht="15" customHeight="1" x14ac:dyDescent="0.25">
      <c r="A16" s="81" t="s">
        <v>213</v>
      </c>
      <c r="B16" s="328">
        <f>'Utility Fund'!D10+'Utility Fund'!D11+'Utility Fund'!D12+'Utility Fund'!D13</f>
        <v>999034</v>
      </c>
      <c r="C16" s="155"/>
      <c r="D16" s="328">
        <f>'Utility Fund'!F10+'Utility Fund'!F11+'Utility Fund'!F12+'Utility Fund'!F13</f>
        <v>1075318</v>
      </c>
      <c r="E16" s="155"/>
      <c r="F16" s="328">
        <f>'Utility Fund'!H10+'Utility Fund'!H11+'Utility Fund'!H12+'Utility Fund'!H13</f>
        <v>1097800</v>
      </c>
      <c r="G16" s="32"/>
      <c r="H16" s="197">
        <v>0</v>
      </c>
      <c r="I16" s="197"/>
      <c r="J16" s="197">
        <v>0</v>
      </c>
      <c r="K16" s="197"/>
      <c r="L16" s="197">
        <v>0</v>
      </c>
      <c r="M16" s="197"/>
      <c r="N16" s="197">
        <v>0</v>
      </c>
      <c r="O16" s="4"/>
      <c r="P16" s="31">
        <f>'Utility Fund'!H15-'Utility Fund'!H14</f>
        <v>1097800</v>
      </c>
    </row>
    <row r="17" spans="1:26" ht="17.25" customHeight="1" x14ac:dyDescent="0.4">
      <c r="A17" s="81" t="s">
        <v>5</v>
      </c>
      <c r="B17" s="235">
        <f>'General Fund'!C14+'Sales Tax Funds'!N14+'capital projects fund'!E14+'Utility Fund'!D14+'Debt Service Funds'!E13</f>
        <v>260462</v>
      </c>
      <c r="C17" s="155"/>
      <c r="D17" s="235">
        <f>'General Fund'!E14+'Sales Tax Funds'!P14+'capital projects fund'!G14+'Utility Fund'!F14+'Debt Service Funds'!G13</f>
        <v>205916</v>
      </c>
      <c r="E17" s="155"/>
      <c r="F17" s="235">
        <f>'General Fund'!G14+'Sales Tax Funds'!R14+'capital projects fund'!I14+'Utility Fund'!H14+'Debt Service Funds'!I13</f>
        <v>218415</v>
      </c>
      <c r="G17" s="32"/>
      <c r="H17" s="45">
        <f>'General Fund'!G14</f>
        <v>177100</v>
      </c>
      <c r="I17" s="4"/>
      <c r="J17" s="45">
        <f>'Sales Tax Funds'!R14</f>
        <v>15</v>
      </c>
      <c r="K17" s="4"/>
      <c r="L17" s="45">
        <f>'Debt Service Funds'!I13</f>
        <v>0</v>
      </c>
      <c r="M17" s="4"/>
      <c r="N17" s="194">
        <v>0</v>
      </c>
      <c r="O17" s="4"/>
      <c r="P17" s="45">
        <f>'Utility Fund'!H14</f>
        <v>41300</v>
      </c>
    </row>
    <row r="18" spans="1:26" ht="17.25" customHeight="1" x14ac:dyDescent="0.4">
      <c r="A18" s="81" t="s">
        <v>6</v>
      </c>
      <c r="B18" s="235">
        <f>SUM(B12:B17)</f>
        <v>2763810</v>
      </c>
      <c r="C18" s="155"/>
      <c r="D18" s="235">
        <f>SUM(D12:D17)</f>
        <v>2766055</v>
      </c>
      <c r="E18" s="155"/>
      <c r="F18" s="235">
        <f>SUM(F12:F17)</f>
        <v>2779178</v>
      </c>
      <c r="G18" s="32"/>
      <c r="H18" s="45">
        <f>SUM(H12:H17)</f>
        <v>1006063</v>
      </c>
      <c r="I18" s="4"/>
      <c r="J18" s="45">
        <f>SUM(J12:J17)</f>
        <v>634015</v>
      </c>
      <c r="K18" s="4"/>
      <c r="L18" s="45">
        <f>SUM(L12:L17)</f>
        <v>0</v>
      </c>
      <c r="M18" s="4"/>
      <c r="N18" s="194">
        <f>SUM(N12:N17)</f>
        <v>0</v>
      </c>
      <c r="O18" s="4"/>
      <c r="P18" s="45">
        <f>SUM(P12:P17)</f>
        <v>1139100</v>
      </c>
      <c r="R18" s="49">
        <f>H18+J18+L18+P18</f>
        <v>2779178</v>
      </c>
    </row>
    <row r="19" spans="1:26" ht="9.9499999999999993" customHeight="1" x14ac:dyDescent="0.25">
      <c r="A19" s="81"/>
      <c r="B19" s="328"/>
      <c r="C19" s="155"/>
      <c r="D19" s="328"/>
      <c r="E19" s="155"/>
      <c r="F19" s="328"/>
      <c r="G19" s="32"/>
      <c r="H19" s="31"/>
      <c r="I19" s="4"/>
      <c r="J19" s="31"/>
      <c r="K19" s="4"/>
      <c r="L19" s="31"/>
      <c r="M19" s="4"/>
      <c r="N19" s="31"/>
      <c r="O19" s="4"/>
      <c r="P19" s="31"/>
    </row>
    <row r="20" spans="1:26" ht="15" customHeight="1" x14ac:dyDescent="0.25">
      <c r="A20" s="156" t="s">
        <v>7</v>
      </c>
      <c r="B20" s="328"/>
      <c r="C20" s="155"/>
      <c r="D20" s="328"/>
      <c r="E20" s="155"/>
      <c r="F20" s="328"/>
      <c r="G20" s="32"/>
      <c r="H20" s="31"/>
      <c r="I20" s="4"/>
      <c r="J20" s="31"/>
      <c r="K20" s="4"/>
      <c r="L20" s="31"/>
      <c r="M20" s="4"/>
      <c r="N20" s="31"/>
      <c r="O20" s="4"/>
      <c r="P20" s="31"/>
    </row>
    <row r="21" spans="1:26" ht="15" customHeight="1" x14ac:dyDescent="0.25">
      <c r="A21" s="81" t="s">
        <v>8</v>
      </c>
      <c r="B21" s="328">
        <f>'General Fund'!C18+'Sales Tax Funds'!N21</f>
        <v>205808</v>
      </c>
      <c r="C21" s="155"/>
      <c r="D21" s="328">
        <f>'General Fund'!E18+'Sales Tax Funds'!P21</f>
        <v>188883</v>
      </c>
      <c r="E21" s="155"/>
      <c r="F21" s="328">
        <f>'General Fund'!G18+'Sales Tax Funds'!R21</f>
        <v>195790</v>
      </c>
      <c r="G21" s="32"/>
      <c r="H21" s="31">
        <f>'General Fund'!G18</f>
        <v>166490</v>
      </c>
      <c r="I21" s="4"/>
      <c r="J21" s="31">
        <f>'Sales Tax Funds'!R21</f>
        <v>29300</v>
      </c>
      <c r="K21" s="4"/>
      <c r="L21" s="197">
        <v>0</v>
      </c>
      <c r="M21" s="197"/>
      <c r="N21" s="197">
        <v>0</v>
      </c>
      <c r="O21" s="197"/>
      <c r="P21" s="197">
        <v>0</v>
      </c>
    </row>
    <row r="22" spans="1:26" ht="15" customHeight="1" x14ac:dyDescent="0.25">
      <c r="A22" s="81" t="s">
        <v>9</v>
      </c>
      <c r="B22" s="328">
        <f>'General Fund'!C20</f>
        <v>831152</v>
      </c>
      <c r="C22" s="155"/>
      <c r="D22" s="328">
        <f>'General Fund'!E20</f>
        <v>807734</v>
      </c>
      <c r="E22" s="155"/>
      <c r="F22" s="328">
        <f>'General Fund'!G20</f>
        <v>803060</v>
      </c>
      <c r="G22" s="32"/>
      <c r="H22" s="31">
        <f>'General Fund'!G20</f>
        <v>803060</v>
      </c>
      <c r="I22" s="4"/>
      <c r="J22" s="197">
        <v>0</v>
      </c>
      <c r="K22" s="4"/>
      <c r="L22" s="197">
        <v>0</v>
      </c>
      <c r="M22" s="197"/>
      <c r="N22" s="197">
        <v>0</v>
      </c>
      <c r="O22" s="197"/>
      <c r="P22" s="197">
        <v>0</v>
      </c>
    </row>
    <row r="23" spans="1:26" ht="15" customHeight="1" x14ac:dyDescent="0.4">
      <c r="A23" s="601" t="s">
        <v>10</v>
      </c>
      <c r="B23" s="602">
        <f>'Sales Tax Funds'!N33</f>
        <v>296880</v>
      </c>
      <c r="C23" s="155"/>
      <c r="D23" s="328">
        <f>'Sales Tax Funds'!P33</f>
        <v>324937</v>
      </c>
      <c r="E23" s="155"/>
      <c r="F23" s="328">
        <f>'Sales Tax Funds'!R33</f>
        <v>307980</v>
      </c>
      <c r="G23" s="32"/>
      <c r="H23" s="197">
        <v>0</v>
      </c>
      <c r="I23" s="4"/>
      <c r="J23" s="31">
        <f>'Sales Tax Funds'!R33</f>
        <v>307980</v>
      </c>
      <c r="K23" s="4"/>
      <c r="L23" s="197">
        <v>0</v>
      </c>
      <c r="M23" s="197"/>
      <c r="N23" s="197">
        <v>0</v>
      </c>
      <c r="O23" s="197"/>
      <c r="P23" s="197">
        <v>0</v>
      </c>
      <c r="S23" s="194"/>
      <c r="T23" s="194"/>
      <c r="U23" s="194"/>
    </row>
    <row r="24" spans="1:26" ht="15" customHeight="1" x14ac:dyDescent="0.25">
      <c r="A24" s="81" t="s">
        <v>11</v>
      </c>
      <c r="B24" s="328">
        <f>'General Fund'!C21+'Sales Tax Funds'!N36</f>
        <v>190100</v>
      </c>
      <c r="C24" s="155"/>
      <c r="D24" s="328">
        <f>'General Fund'!E21+'Sales Tax Funds'!D36</f>
        <v>165858</v>
      </c>
      <c r="E24" s="155"/>
      <c r="F24" s="328">
        <f>'General Fund'!G21+'Sales Tax Funds'!F36</f>
        <v>168928</v>
      </c>
      <c r="G24" s="32"/>
      <c r="H24" s="31">
        <f>'General Fund'!G21</f>
        <v>151428</v>
      </c>
      <c r="I24" s="4"/>
      <c r="J24" s="31">
        <f>'Sales Tax Funds'!R36</f>
        <v>17500</v>
      </c>
      <c r="K24" s="4"/>
      <c r="L24" s="197">
        <v>0</v>
      </c>
      <c r="M24" s="197"/>
      <c r="N24" s="197">
        <v>0</v>
      </c>
      <c r="O24" s="197"/>
      <c r="P24" s="197">
        <v>0</v>
      </c>
    </row>
    <row r="25" spans="1:26" ht="15" customHeight="1" x14ac:dyDescent="0.25">
      <c r="A25" s="81" t="s">
        <v>12</v>
      </c>
      <c r="B25" s="328">
        <f>'Utility Fund'!D40</f>
        <v>1056672</v>
      </c>
      <c r="C25" s="155"/>
      <c r="D25" s="328">
        <f>'Utility Fund'!F40</f>
        <v>1139582</v>
      </c>
      <c r="E25" s="155"/>
      <c r="F25" s="328">
        <f>'Utility Fund'!H40</f>
        <v>1095683</v>
      </c>
      <c r="G25" s="32"/>
      <c r="H25" s="197">
        <v>0</v>
      </c>
      <c r="I25" s="197"/>
      <c r="J25" s="197">
        <v>0</v>
      </c>
      <c r="K25" s="197"/>
      <c r="L25" s="197">
        <v>0</v>
      </c>
      <c r="M25" s="197"/>
      <c r="N25" s="197">
        <v>0</v>
      </c>
      <c r="O25" s="4"/>
      <c r="P25" s="31">
        <f>'Utility Fund'!H40</f>
        <v>1095683</v>
      </c>
    </row>
    <row r="26" spans="1:26" x14ac:dyDescent="0.25">
      <c r="A26" s="81" t="s">
        <v>13</v>
      </c>
      <c r="B26" s="328">
        <f>'General Fund'!C22+'Debt Service Funds'!E20</f>
        <v>58290</v>
      </c>
      <c r="C26" s="155"/>
      <c r="D26" s="328">
        <f>'General Fund'!E22+'Debt Service Funds'!G20</f>
        <v>0</v>
      </c>
      <c r="E26" s="155"/>
      <c r="F26" s="594">
        <f>'General Fund'!G22+'Debt Service Funds'!I20</f>
        <v>0</v>
      </c>
      <c r="G26" s="32"/>
      <c r="H26" s="31">
        <f>'General Fund'!G22</f>
        <v>0</v>
      </c>
      <c r="I26" s="4"/>
      <c r="J26" s="197">
        <v>0</v>
      </c>
      <c r="K26" s="4"/>
      <c r="L26" s="31">
        <f>'Debt Service Funds'!I20</f>
        <v>0</v>
      </c>
      <c r="M26" s="4"/>
      <c r="N26" s="197">
        <v>0</v>
      </c>
      <c r="O26" s="197"/>
      <c r="P26" s="197">
        <v>0</v>
      </c>
      <c r="T26" s="197"/>
      <c r="U26" s="197"/>
      <c r="V26" s="197"/>
      <c r="W26" s="197"/>
      <c r="X26" s="197"/>
      <c r="Y26" s="197"/>
      <c r="Z26" s="197"/>
    </row>
    <row r="27" spans="1:26" ht="17.25" customHeight="1" x14ac:dyDescent="0.4">
      <c r="A27" s="81" t="s">
        <v>380</v>
      </c>
      <c r="B27" s="235">
        <f>+'General Fund'!C195+'capital projects fund'!E20+'Sales Tax Funds'!N42</f>
        <v>19494</v>
      </c>
      <c r="C27" s="329"/>
      <c r="D27" s="235">
        <f>+'General Fund'!E195+'capital projects fund'!G20+'Sales Tax Funds'!P42</f>
        <v>110255</v>
      </c>
      <c r="E27" s="329"/>
      <c r="F27" s="451">
        <f>+'General Fund'!G195+'capital projects fund'!I20+'Sales Tax Funds'!R42</f>
        <v>160000</v>
      </c>
      <c r="G27" s="250"/>
      <c r="H27" s="45">
        <f>'General Fund'!G23</f>
        <v>115000</v>
      </c>
      <c r="I27" s="171"/>
      <c r="J27" s="45">
        <f>'Sales Tax Funds'!R42</f>
        <v>45000</v>
      </c>
      <c r="K27" s="194"/>
      <c r="L27" s="194">
        <v>0</v>
      </c>
      <c r="M27" s="194"/>
      <c r="N27" s="194">
        <v>0</v>
      </c>
      <c r="O27" s="194"/>
      <c r="P27" s="194">
        <v>0</v>
      </c>
    </row>
    <row r="28" spans="1:26" ht="17.25" customHeight="1" x14ac:dyDescent="0.4">
      <c r="A28" s="81" t="s">
        <v>14</v>
      </c>
      <c r="B28" s="235">
        <f>SUM(B21:B27)</f>
        <v>2658396</v>
      </c>
      <c r="C28" s="155"/>
      <c r="D28" s="235">
        <f>SUM(D21:D27)</f>
        <v>2737249</v>
      </c>
      <c r="E28" s="155"/>
      <c r="F28" s="235">
        <f>SUM(F21:F27)</f>
        <v>2731441</v>
      </c>
      <c r="G28" s="32"/>
      <c r="H28" s="45">
        <f>SUM(H21:H27)</f>
        <v>1235978</v>
      </c>
      <c r="I28" s="4"/>
      <c r="J28" s="45">
        <f>SUM(J21:J27)</f>
        <v>399780</v>
      </c>
      <c r="K28" s="4"/>
      <c r="L28" s="45">
        <f>SUM(L21:L27)</f>
        <v>0</v>
      </c>
      <c r="M28" s="4"/>
      <c r="N28" s="194">
        <f>SUM(N21:N27)</f>
        <v>0</v>
      </c>
      <c r="O28" s="4"/>
      <c r="P28" s="45">
        <f>SUM(P21:P27)</f>
        <v>1095683</v>
      </c>
      <c r="R28" s="49">
        <f>H28+J28+L28+P28</f>
        <v>2731441</v>
      </c>
    </row>
    <row r="29" spans="1:26" ht="9.9499999999999993" customHeight="1" x14ac:dyDescent="0.25">
      <c r="A29" s="81"/>
      <c r="B29" s="328"/>
      <c r="C29" s="155"/>
      <c r="D29" s="328"/>
      <c r="E29" s="155"/>
      <c r="F29" s="328"/>
      <c r="G29" s="32"/>
      <c r="H29" s="31"/>
      <c r="I29" s="4"/>
      <c r="J29" s="31"/>
      <c r="K29" s="4"/>
      <c r="L29" s="31"/>
      <c r="M29" s="4"/>
      <c r="N29" s="31" t="s">
        <v>19</v>
      </c>
      <c r="O29" s="4"/>
      <c r="P29" s="31"/>
    </row>
    <row r="30" spans="1:26" ht="17.25" customHeight="1" x14ac:dyDescent="0.4">
      <c r="A30" s="81" t="s">
        <v>481</v>
      </c>
      <c r="B30" s="235">
        <f>B18-B28</f>
        <v>105414</v>
      </c>
      <c r="C30" s="155"/>
      <c r="D30" s="235">
        <f>D18-D28</f>
        <v>28806</v>
      </c>
      <c r="E30" s="155"/>
      <c r="F30" s="235">
        <f>F18-F28</f>
        <v>47737</v>
      </c>
      <c r="G30" s="32"/>
      <c r="H30" s="45">
        <f>H18-H28</f>
        <v>-229915</v>
      </c>
      <c r="I30" s="4"/>
      <c r="J30" s="45">
        <f>J18-J28</f>
        <v>234235</v>
      </c>
      <c r="K30" s="4"/>
      <c r="L30" s="45">
        <f>L18-L28</f>
        <v>0</v>
      </c>
      <c r="M30" s="4"/>
      <c r="N30" s="194">
        <f>N18-N28</f>
        <v>0</v>
      </c>
      <c r="O30" s="4"/>
      <c r="P30" s="45">
        <f>P18-P28</f>
        <v>43417</v>
      </c>
    </row>
    <row r="31" spans="1:26" ht="9.9499999999999993" customHeight="1" x14ac:dyDescent="0.25">
      <c r="A31" s="81"/>
      <c r="B31" s="328"/>
      <c r="C31" s="155"/>
      <c r="D31" s="328"/>
      <c r="E31" s="155"/>
      <c r="F31" s="328"/>
      <c r="G31" s="32"/>
      <c r="H31" s="31"/>
      <c r="I31" s="4"/>
      <c r="J31" s="31"/>
      <c r="K31" s="4"/>
      <c r="L31" s="31"/>
      <c r="M31" s="4"/>
      <c r="N31" s="31"/>
      <c r="O31" s="4"/>
      <c r="P31" s="31"/>
    </row>
    <row r="32" spans="1:26" ht="15" customHeight="1" x14ac:dyDescent="0.25">
      <c r="A32" s="156" t="s">
        <v>15</v>
      </c>
      <c r="B32" s="328"/>
      <c r="C32" s="155"/>
      <c r="D32" s="328"/>
      <c r="E32" s="155"/>
      <c r="F32" s="328"/>
      <c r="G32" s="32"/>
      <c r="H32" s="31"/>
      <c r="I32" s="4"/>
      <c r="J32" s="31"/>
      <c r="K32" s="4"/>
      <c r="L32" s="31"/>
      <c r="M32" s="4"/>
      <c r="N32" s="31"/>
      <c r="O32" s="4"/>
      <c r="P32" s="31"/>
    </row>
    <row r="33" spans="1:24" ht="15" customHeight="1" x14ac:dyDescent="0.25">
      <c r="A33" s="157" t="s">
        <v>569</v>
      </c>
      <c r="B33" s="328">
        <f>'Utility Fund'!D45</f>
        <v>263</v>
      </c>
      <c r="C33" s="155"/>
      <c r="D33" s="328">
        <f>'Utility Fund'!F45</f>
        <v>260</v>
      </c>
      <c r="E33" s="328"/>
      <c r="F33" s="328">
        <f>'Utility Fund'!H45</f>
        <v>260</v>
      </c>
      <c r="G33" s="32"/>
      <c r="H33" s="197">
        <v>0</v>
      </c>
      <c r="I33" s="197"/>
      <c r="J33" s="197">
        <v>0</v>
      </c>
      <c r="K33" s="197"/>
      <c r="L33" s="197">
        <v>0</v>
      </c>
      <c r="M33" s="197"/>
      <c r="N33" s="197">
        <v>0</v>
      </c>
      <c r="O33" s="197"/>
      <c r="P33" s="73">
        <f>'Utility Fund'!H45</f>
        <v>260</v>
      </c>
    </row>
    <row r="34" spans="1:24" s="546" customFormat="1" ht="15" customHeight="1" x14ac:dyDescent="0.25">
      <c r="A34" s="157" t="s">
        <v>567</v>
      </c>
      <c r="B34" s="328">
        <f>'Utility Fund'!D46</f>
        <v>-25228</v>
      </c>
      <c r="C34" s="155"/>
      <c r="D34" s="328">
        <f>'Utility Fund'!F46</f>
        <v>-22651</v>
      </c>
      <c r="E34" s="328"/>
      <c r="F34" s="328">
        <f>'Utility Fund'!H46</f>
        <v>-19945</v>
      </c>
      <c r="G34" s="32"/>
      <c r="H34" s="197"/>
      <c r="I34" s="197"/>
      <c r="J34" s="197"/>
      <c r="K34" s="197"/>
      <c r="L34" s="197"/>
      <c r="M34" s="197"/>
      <c r="N34" s="197"/>
      <c r="O34" s="197"/>
      <c r="P34" s="558">
        <f>'Utility Fund'!H46</f>
        <v>-19945</v>
      </c>
    </row>
    <row r="35" spans="1:24" ht="17.25" customHeight="1" x14ac:dyDescent="0.55000000000000004">
      <c r="A35" s="157" t="s">
        <v>568</v>
      </c>
      <c r="B35" s="451">
        <f>'Utility Fund'!D47</f>
        <v>-19819</v>
      </c>
      <c r="C35" s="329"/>
      <c r="D35" s="451">
        <f>'Utility Fund'!F47</f>
        <v>0</v>
      </c>
      <c r="E35" s="329"/>
      <c r="F35" s="451">
        <f>'Utility Fund'!H47</f>
        <v>0</v>
      </c>
      <c r="G35" s="32"/>
      <c r="H35" s="310">
        <v>0</v>
      </c>
      <c r="I35" s="310"/>
      <c r="J35" s="310">
        <v>0</v>
      </c>
      <c r="K35" s="310"/>
      <c r="L35" s="310">
        <v>0</v>
      </c>
      <c r="M35" s="310"/>
      <c r="N35" s="310">
        <v>0</v>
      </c>
      <c r="O35" s="310"/>
      <c r="P35" s="558">
        <f>'Utility Fund'!H47</f>
        <v>0</v>
      </c>
    </row>
    <row r="36" spans="1:24" ht="17.25" customHeight="1" x14ac:dyDescent="0.4">
      <c r="A36" s="81" t="s">
        <v>88</v>
      </c>
      <c r="B36" s="235">
        <f>SUM(B33:B35)</f>
        <v>-44784</v>
      </c>
      <c r="C36" s="155"/>
      <c r="D36" s="235">
        <f>SUM(D33:D35)</f>
        <v>-22391</v>
      </c>
      <c r="E36" s="155"/>
      <c r="F36" s="235">
        <f>SUM(F33:F35)</f>
        <v>-19685</v>
      </c>
      <c r="G36" s="32"/>
      <c r="H36" s="194">
        <f>SUM(H33:H35)</f>
        <v>0</v>
      </c>
      <c r="I36" s="194"/>
      <c r="J36" s="194">
        <f>SUM(J33:J35)</f>
        <v>0</v>
      </c>
      <c r="K36" s="194"/>
      <c r="L36" s="194">
        <f>SUM(L33:L35)</f>
        <v>0</v>
      </c>
      <c r="M36" s="194"/>
      <c r="N36" s="194">
        <f>SUM(N33:N35)</f>
        <v>0</v>
      </c>
      <c r="O36" s="4"/>
      <c r="P36" s="45">
        <f>SUM(P33:P35)</f>
        <v>-19685</v>
      </c>
    </row>
    <row r="37" spans="1:24" ht="9.9499999999999993" customHeight="1" x14ac:dyDescent="0.25">
      <c r="A37" s="81"/>
      <c r="B37" s="328"/>
      <c r="C37" s="155"/>
      <c r="D37" s="328"/>
      <c r="E37" s="155"/>
      <c r="F37" s="328"/>
      <c r="G37" s="32"/>
      <c r="H37" s="31"/>
      <c r="I37" s="4"/>
      <c r="J37" s="31"/>
      <c r="K37" s="4"/>
      <c r="L37" s="31"/>
      <c r="M37" s="4"/>
      <c r="N37" s="31"/>
      <c r="O37" s="4"/>
      <c r="P37" s="31"/>
    </row>
    <row r="38" spans="1:24" ht="17.25" customHeight="1" x14ac:dyDescent="0.55000000000000004">
      <c r="A38" s="336" t="s">
        <v>482</v>
      </c>
      <c r="B38" s="337">
        <f>B30+B36</f>
        <v>60630</v>
      </c>
      <c r="C38" s="338"/>
      <c r="D38" s="337">
        <f>D30+D36</f>
        <v>6415</v>
      </c>
      <c r="E38" s="338"/>
      <c r="F38" s="337">
        <f>F30+F36</f>
        <v>28052</v>
      </c>
      <c r="G38" s="35"/>
      <c r="H38" s="139">
        <f>H30+H36</f>
        <v>-229915</v>
      </c>
      <c r="I38" s="34"/>
      <c r="J38" s="139">
        <f>J30+J36</f>
        <v>234235</v>
      </c>
      <c r="K38" s="34"/>
      <c r="L38" s="139">
        <f>L30+L36</f>
        <v>0</v>
      </c>
      <c r="M38" s="34"/>
      <c r="N38" s="198">
        <f>N30+N36</f>
        <v>0</v>
      </c>
      <c r="O38" s="34"/>
      <c r="P38" s="139">
        <f>P30+P36</f>
        <v>23732</v>
      </c>
      <c r="Q38" s="4"/>
    </row>
    <row r="39" spans="1:24" ht="9.9499999999999993" customHeight="1" x14ac:dyDescent="0.25">
      <c r="A39" s="81"/>
      <c r="B39" s="328"/>
      <c r="C39" s="155"/>
      <c r="D39" s="328"/>
      <c r="E39" s="155"/>
      <c r="F39" s="328"/>
      <c r="G39" s="32"/>
      <c r="H39" s="31"/>
      <c r="I39" s="4"/>
      <c r="J39" s="31"/>
      <c r="K39" s="4"/>
      <c r="L39" s="31"/>
      <c r="M39" s="4"/>
      <c r="N39" s="31"/>
      <c r="O39" s="4"/>
      <c r="P39" s="31"/>
    </row>
    <row r="40" spans="1:24" ht="15" customHeight="1" x14ac:dyDescent="0.25">
      <c r="A40" s="156" t="s">
        <v>16</v>
      </c>
      <c r="B40" s="328"/>
      <c r="C40" s="155"/>
      <c r="D40" s="328"/>
      <c r="E40" s="155"/>
      <c r="F40" s="328"/>
      <c r="G40" s="32"/>
      <c r="H40" s="31"/>
      <c r="I40" s="4"/>
      <c r="J40" s="31"/>
      <c r="K40" s="4"/>
      <c r="L40" s="31"/>
      <c r="M40" s="4"/>
      <c r="N40" s="31"/>
      <c r="O40" s="4"/>
      <c r="P40" s="31"/>
    </row>
    <row r="41" spans="1:24" s="546" customFormat="1" ht="15" customHeight="1" x14ac:dyDescent="0.25">
      <c r="A41" s="81" t="s">
        <v>587</v>
      </c>
      <c r="B41" s="328">
        <v>0</v>
      </c>
      <c r="C41" s="155"/>
      <c r="D41" s="328">
        <v>0</v>
      </c>
      <c r="E41" s="155"/>
      <c r="F41" s="328">
        <v>100000</v>
      </c>
      <c r="G41" s="32"/>
      <c r="H41" s="573"/>
      <c r="I41" s="4"/>
      <c r="J41" s="573"/>
      <c r="K41" s="4"/>
      <c r="L41" s="573"/>
      <c r="M41" s="4"/>
      <c r="N41" s="573"/>
      <c r="O41" s="4"/>
      <c r="P41" s="573"/>
    </row>
    <row r="42" spans="1:24" ht="15" customHeight="1" x14ac:dyDescent="0.25">
      <c r="A42" s="81" t="s">
        <v>223</v>
      </c>
      <c r="B42" s="328">
        <f>+'General Fund'!C30+'Sales Tax Funds'!B50+'Debt Service Funds'!E26+'Utility Fund'!D53</f>
        <v>437691</v>
      </c>
      <c r="C42" s="155"/>
      <c r="D42" s="328">
        <f>'General Fund'!E30+'Debt Service Funds'!G26+'Utility Fund'!F53+'Sales Tax Funds'!P50</f>
        <v>503602</v>
      </c>
      <c r="E42" s="155"/>
      <c r="F42" s="328">
        <f>'General Fund'!G30+'Debt Service Funds'!I26+'Utility Fund'!H53+'Sales Tax Funds'!R50</f>
        <v>575000</v>
      </c>
      <c r="G42" s="32"/>
      <c r="H42" s="31">
        <f>'General Fund'!G30</f>
        <v>175000</v>
      </c>
      <c r="I42" s="4"/>
      <c r="J42" s="31">
        <f>'Sales Tax Funds'!R50</f>
        <v>225000</v>
      </c>
      <c r="K42" s="4"/>
      <c r="L42" s="31">
        <f>'Debt Service Funds'!I26</f>
        <v>0</v>
      </c>
      <c r="M42" s="4"/>
      <c r="N42" s="197">
        <v>0</v>
      </c>
      <c r="O42" s="4"/>
      <c r="P42" s="31">
        <f>'Utility Fund'!H53</f>
        <v>175000</v>
      </c>
    </row>
    <row r="43" spans="1:24" ht="17.25" customHeight="1" x14ac:dyDescent="0.4">
      <c r="A43" s="81" t="s">
        <v>224</v>
      </c>
      <c r="B43" s="235">
        <f>'Sales Tax Funds'!N51+'Sales Tax Funds'!N52+'Sales Tax Funds'!H53+'Utility Fund'!D54+'Sales Tax Funds'!H50</f>
        <v>-437691</v>
      </c>
      <c r="C43" s="155"/>
      <c r="D43" s="235">
        <f>'Sales Tax Funds'!P51+'Sales Tax Funds'!P52+'Sales Tax Funds'!J53+'Utility Fund'!F54+'Sales Tax Funds'!L69</f>
        <v>-503602</v>
      </c>
      <c r="E43" s="332"/>
      <c r="F43" s="235">
        <f>'Sales Tax Funds'!R51+'Sales Tax Funds'!R52+'Sales Tax Funds'!L53+'Utility Fund'!H54</f>
        <v>-575000</v>
      </c>
      <c r="G43" s="32"/>
      <c r="H43" s="194">
        <v>0</v>
      </c>
      <c r="I43" s="4"/>
      <c r="J43" s="45">
        <f>'Sales Tax Funds'!R51+'Sales Tax Funds'!R52+'Sales Tax Funds'!R53</f>
        <v>-400000</v>
      </c>
      <c r="K43" s="4"/>
      <c r="L43" s="45">
        <v>0</v>
      </c>
      <c r="M43" s="4"/>
      <c r="N43" s="194">
        <v>0</v>
      </c>
      <c r="O43" s="4"/>
      <c r="P43" s="45">
        <f>'Utility Fund'!H54</f>
        <v>-175000</v>
      </c>
    </row>
    <row r="44" spans="1:24" ht="17.25" customHeight="1" x14ac:dyDescent="0.4">
      <c r="A44" s="81" t="s">
        <v>17</v>
      </c>
      <c r="B44" s="333">
        <f>SUM(B41:B43)</f>
        <v>0</v>
      </c>
      <c r="C44" s="155"/>
      <c r="D44" s="333">
        <f>SUM(D41:D43)</f>
        <v>0</v>
      </c>
      <c r="E44" s="334"/>
      <c r="F44" s="333">
        <f>SUM(F41:F43)</f>
        <v>100000</v>
      </c>
      <c r="G44" s="32"/>
      <c r="H44" s="45">
        <f>SUM(H42:H43)</f>
        <v>175000</v>
      </c>
      <c r="I44" s="4"/>
      <c r="J44" s="45">
        <f>SUM(J42:J43)</f>
        <v>-175000</v>
      </c>
      <c r="K44" s="4"/>
      <c r="L44" s="45">
        <f>SUM(L42:L43)</f>
        <v>0</v>
      </c>
      <c r="M44" s="4"/>
      <c r="N44" s="194">
        <f>SUM(N42:N43)</f>
        <v>0</v>
      </c>
      <c r="O44" s="4"/>
      <c r="P44" s="45">
        <f>SUM(P42:P43)</f>
        <v>0</v>
      </c>
      <c r="X44" s="1">
        <v>3</v>
      </c>
    </row>
    <row r="45" spans="1:24" ht="9.9499999999999993" customHeight="1" x14ac:dyDescent="0.25">
      <c r="A45" s="81"/>
      <c r="B45" s="328"/>
      <c r="C45" s="155"/>
      <c r="D45" s="328"/>
      <c r="E45" s="155"/>
      <c r="F45" s="328"/>
      <c r="G45" s="32"/>
      <c r="H45" s="31"/>
      <c r="I45" s="4"/>
      <c r="J45" s="31"/>
      <c r="K45" s="4"/>
      <c r="L45" s="31"/>
      <c r="M45" s="4"/>
      <c r="N45" s="31"/>
      <c r="O45" s="4"/>
      <c r="P45" s="31"/>
    </row>
    <row r="46" spans="1:24" ht="15" customHeight="1" x14ac:dyDescent="0.25">
      <c r="A46" s="156" t="s">
        <v>165</v>
      </c>
      <c r="B46" s="331"/>
      <c r="C46" s="330"/>
      <c r="D46" s="331"/>
      <c r="E46" s="330"/>
      <c r="F46" s="331"/>
      <c r="G46" s="35"/>
      <c r="H46" s="140"/>
      <c r="I46" s="34"/>
      <c r="J46" s="140"/>
      <c r="K46" s="34"/>
      <c r="L46" s="140"/>
      <c r="M46" s="34"/>
      <c r="N46" s="140"/>
      <c r="O46" s="34"/>
      <c r="P46" s="140"/>
    </row>
    <row r="47" spans="1:24" ht="15" customHeight="1" x14ac:dyDescent="0.25">
      <c r="A47" s="156" t="s">
        <v>282</v>
      </c>
      <c r="B47" s="331"/>
      <c r="C47" s="330"/>
      <c r="D47" s="331"/>
      <c r="E47" s="330"/>
      <c r="F47" s="331"/>
      <c r="G47" s="35"/>
      <c r="H47" s="140"/>
      <c r="I47" s="34"/>
      <c r="J47" s="140"/>
      <c r="K47" s="34"/>
      <c r="L47" s="140"/>
      <c r="M47" s="34"/>
      <c r="N47" s="140"/>
      <c r="O47" s="34"/>
      <c r="P47" s="140"/>
    </row>
    <row r="48" spans="1:24" ht="15" customHeight="1" x14ac:dyDescent="0.25">
      <c r="A48" s="156" t="s">
        <v>90</v>
      </c>
      <c r="B48" s="331">
        <f>B38+B44</f>
        <v>60630</v>
      </c>
      <c r="C48" s="330"/>
      <c r="D48" s="331">
        <f>D38+D44</f>
        <v>6415</v>
      </c>
      <c r="E48" s="330"/>
      <c r="F48" s="331">
        <f>F38+F44</f>
        <v>128052</v>
      </c>
      <c r="G48" s="35"/>
      <c r="H48" s="140">
        <f>H38+H44</f>
        <v>-54915</v>
      </c>
      <c r="I48" s="34"/>
      <c r="J48" s="140">
        <f>J38+J44</f>
        <v>59235</v>
      </c>
      <c r="K48" s="34"/>
      <c r="L48" s="140">
        <f>L38+L44</f>
        <v>0</v>
      </c>
      <c r="M48" s="34"/>
      <c r="N48" s="197">
        <f>N38+N44</f>
        <v>0</v>
      </c>
      <c r="O48" s="34"/>
      <c r="P48" s="140">
        <f>P38+P44</f>
        <v>23732</v>
      </c>
    </row>
    <row r="49" spans="1:19" ht="9.9499999999999993" customHeight="1" x14ac:dyDescent="0.25">
      <c r="A49" s="81"/>
      <c r="B49" s="328"/>
      <c r="C49" s="155"/>
      <c r="D49" s="328"/>
      <c r="E49" s="155"/>
      <c r="F49" s="328"/>
      <c r="G49" s="32"/>
      <c r="H49" s="31"/>
      <c r="I49" s="4"/>
      <c r="J49" s="31"/>
      <c r="K49" s="4"/>
      <c r="L49" s="31"/>
      <c r="M49" s="4"/>
      <c r="N49" s="31"/>
      <c r="O49" s="4"/>
      <c r="P49" s="31"/>
    </row>
    <row r="50" spans="1:19" ht="17.25" customHeight="1" x14ac:dyDescent="0.4">
      <c r="A50" s="156" t="s">
        <v>280</v>
      </c>
      <c r="B50" s="235">
        <f>'General Fund'!C36+'Sales Tax Funds'!N61+'Debt Service Funds'!E31+'Utility Fund'!D59+'capital projects fund'!E32</f>
        <v>4415217</v>
      </c>
      <c r="C50" s="155"/>
      <c r="D50" s="332">
        <f>'General Fund'!E36+'Sales Tax Funds'!P61+'capital projects fund'!G32+'Utility Fund'!F59+'Debt Service Funds'!G31</f>
        <v>4450766</v>
      </c>
      <c r="E50" s="155"/>
      <c r="F50" s="332">
        <f>'General Fund'!G36+'Sales Tax Funds'!R61+'capital projects fund'!I32+'Utility Fund'!H59+'Debt Service Funds'!I31</f>
        <v>4457181</v>
      </c>
      <c r="G50" s="32"/>
      <c r="H50" s="45">
        <f>'General Fund'!G36</f>
        <v>156149</v>
      </c>
      <c r="I50" s="4"/>
      <c r="J50" s="45">
        <f>'Sales Tax Funds'!R61</f>
        <v>461771</v>
      </c>
      <c r="K50" s="4"/>
      <c r="L50" s="45">
        <f>'Debt Service Funds'!I31</f>
        <v>0</v>
      </c>
      <c r="M50" s="4"/>
      <c r="N50" s="194">
        <v>0</v>
      </c>
      <c r="O50" s="4"/>
      <c r="P50" s="45">
        <f>'Utility Fund'!H59</f>
        <v>3839261</v>
      </c>
    </row>
    <row r="51" spans="1:19" ht="9.9499999999999993" customHeight="1" x14ac:dyDescent="0.25">
      <c r="A51" s="81"/>
      <c r="B51" s="328"/>
      <c r="C51" s="155"/>
      <c r="D51" s="328"/>
      <c r="E51" s="155"/>
      <c r="F51" s="328"/>
      <c r="G51" s="32"/>
      <c r="H51" s="31"/>
      <c r="I51" s="4"/>
      <c r="J51" s="31"/>
      <c r="K51" s="4"/>
      <c r="L51" s="31"/>
      <c r="M51" s="4"/>
      <c r="N51" s="31"/>
      <c r="O51" s="4"/>
      <c r="P51" s="31"/>
    </row>
    <row r="52" spans="1:19" ht="17.25" customHeight="1" x14ac:dyDescent="0.4">
      <c r="A52" s="156" t="s">
        <v>281</v>
      </c>
      <c r="B52" s="240">
        <f>SUM(B48:B51)</f>
        <v>4475847</v>
      </c>
      <c r="C52" s="81"/>
      <c r="D52" s="335">
        <f>SUM(D48:D51)</f>
        <v>4457181</v>
      </c>
      <c r="E52" s="81"/>
      <c r="F52" s="335">
        <f>SUM(F48:F51)</f>
        <v>4585233</v>
      </c>
      <c r="G52" s="23"/>
      <c r="H52" s="142">
        <f>H50+H48</f>
        <v>101234</v>
      </c>
      <c r="J52" s="142">
        <f>J50+J48</f>
        <v>521006</v>
      </c>
      <c r="L52" s="142">
        <f>L50+L48</f>
        <v>0</v>
      </c>
      <c r="N52" s="196">
        <f>N50+N48</f>
        <v>0</v>
      </c>
      <c r="P52" s="142">
        <f>P48+P50</f>
        <v>3862993</v>
      </c>
      <c r="R52" s="178">
        <f>SUM(H52:P52)</f>
        <v>4485233</v>
      </c>
    </row>
    <row r="53" spans="1:19" x14ac:dyDescent="0.25">
      <c r="G53" s="23"/>
    </row>
    <row r="54" spans="1:19" x14ac:dyDescent="0.25">
      <c r="A54" s="1" t="s">
        <v>19</v>
      </c>
      <c r="B54" s="98">
        <f>'General Fund'!C38+'Sales Tax Funds'!N62+'Debt Service Funds'!E33+'Utility Fund'!D61</f>
        <v>4475847</v>
      </c>
      <c r="D54" s="98">
        <f>'General Fund'!E38+'Sales Tax Funds'!P62+'Debt Service Funds'!G33+'Utility Fund'!F61</f>
        <v>4457181</v>
      </c>
      <c r="F54" s="98">
        <f>'General Fund'!G38+'Sales Tax Funds'!R62+'Debt Service Funds'!I33+'Utility Fund'!H61</f>
        <v>4585233</v>
      </c>
    </row>
    <row r="55" spans="1:19" x14ac:dyDescent="0.25">
      <c r="A55" s="1" t="s">
        <v>19</v>
      </c>
    </row>
    <row r="56" spans="1:19" x14ac:dyDescent="0.25">
      <c r="A56" s="37"/>
      <c r="B56" s="38">
        <f>B54-B52</f>
        <v>0</v>
      </c>
      <c r="C56" s="37"/>
      <c r="D56" s="38">
        <f>D54-D52</f>
        <v>0</v>
      </c>
      <c r="E56" s="37"/>
      <c r="F56" s="38">
        <f>F54-F52</f>
        <v>0</v>
      </c>
      <c r="G56" s="37"/>
      <c r="H56" s="38"/>
      <c r="I56" s="37"/>
      <c r="J56" s="38"/>
      <c r="K56" s="37"/>
      <c r="L56" s="38"/>
      <c r="M56" s="37"/>
      <c r="N56" s="38"/>
      <c r="O56" s="37"/>
      <c r="P56" s="38"/>
      <c r="Q56" s="37"/>
      <c r="R56" s="37"/>
      <c r="S56" s="37"/>
    </row>
    <row r="57" spans="1:19" x14ac:dyDescent="0.25">
      <c r="A57" s="37"/>
      <c r="C57" s="39"/>
      <c r="D57" s="38"/>
      <c r="E57" s="37"/>
      <c r="F57" s="38"/>
      <c r="G57" s="37"/>
      <c r="H57" s="38"/>
      <c r="I57" s="37"/>
      <c r="J57" s="38"/>
      <c r="K57" s="37"/>
      <c r="L57" s="38"/>
      <c r="M57" s="37"/>
      <c r="N57" s="38"/>
      <c r="O57" s="37"/>
      <c r="P57" s="38"/>
      <c r="Q57" s="37"/>
      <c r="R57" s="37"/>
      <c r="S57" s="37"/>
    </row>
    <row r="58" spans="1:19" x14ac:dyDescent="0.25">
      <c r="A58" s="37"/>
      <c r="C58" s="37"/>
      <c r="D58" s="38"/>
      <c r="E58" s="37"/>
      <c r="F58" s="38"/>
      <c r="G58" s="37"/>
      <c r="H58" s="38"/>
      <c r="I58" s="37"/>
      <c r="J58" s="38"/>
      <c r="K58" s="37"/>
      <c r="L58" s="38"/>
      <c r="M58" s="37"/>
      <c r="N58" s="38"/>
      <c r="O58" s="37"/>
      <c r="P58" s="38"/>
      <c r="Q58" s="37"/>
      <c r="R58" s="37"/>
      <c r="S58" s="37"/>
    </row>
    <row r="59" spans="1:19" x14ac:dyDescent="0.25">
      <c r="A59" s="37"/>
      <c r="C59" s="37"/>
      <c r="D59" s="38"/>
      <c r="E59" s="37"/>
      <c r="F59" s="38"/>
      <c r="G59" s="37"/>
      <c r="H59" s="38"/>
      <c r="I59" s="37"/>
      <c r="J59" s="38"/>
      <c r="K59" s="37"/>
      <c r="L59" s="38"/>
      <c r="M59" s="37"/>
      <c r="N59" s="38"/>
      <c r="O59" s="37"/>
      <c r="P59" s="38"/>
      <c r="Q59" s="37"/>
      <c r="R59" s="37"/>
      <c r="S59" s="37"/>
    </row>
    <row r="60" spans="1:19" x14ac:dyDescent="0.25">
      <c r="A60" s="37"/>
      <c r="C60" s="37"/>
      <c r="D60" s="38"/>
      <c r="E60" s="37"/>
      <c r="F60" s="38"/>
      <c r="G60" s="37"/>
      <c r="H60" s="38"/>
      <c r="I60" s="37"/>
      <c r="J60" s="38"/>
      <c r="K60" s="37"/>
      <c r="L60" s="38"/>
      <c r="M60" s="37"/>
      <c r="N60" s="38"/>
      <c r="O60" s="37"/>
      <c r="P60" s="38"/>
      <c r="Q60" s="37"/>
      <c r="R60" s="37"/>
      <c r="S60" s="37"/>
    </row>
    <row r="61" spans="1:19" x14ac:dyDescent="0.25">
      <c r="A61" s="37"/>
      <c r="C61" s="37"/>
      <c r="D61" s="38"/>
      <c r="E61" s="37"/>
      <c r="F61" s="38"/>
      <c r="G61" s="37"/>
      <c r="H61" s="38"/>
      <c r="I61" s="37"/>
      <c r="J61" s="38"/>
      <c r="K61" s="37"/>
      <c r="L61" s="38"/>
      <c r="M61" s="37"/>
      <c r="N61" s="38"/>
      <c r="O61" s="37"/>
      <c r="P61" s="38"/>
      <c r="Q61" s="37"/>
      <c r="R61" s="37"/>
      <c r="S61" s="37"/>
    </row>
    <row r="62" spans="1:19" x14ac:dyDescent="0.25">
      <c r="A62" s="37"/>
      <c r="C62" s="37"/>
      <c r="D62" s="38"/>
      <c r="E62" s="37"/>
      <c r="F62" s="38"/>
      <c r="G62" s="37"/>
      <c r="H62" s="38"/>
      <c r="I62" s="37"/>
      <c r="J62" s="38"/>
      <c r="K62" s="37"/>
      <c r="L62" s="38"/>
      <c r="M62" s="37"/>
      <c r="N62" s="38"/>
      <c r="O62" s="37"/>
      <c r="P62" s="38"/>
      <c r="Q62" s="37"/>
      <c r="R62" s="37"/>
      <c r="S62" s="37"/>
    </row>
    <row r="63" spans="1:19" x14ac:dyDescent="0.25">
      <c r="A63" s="37"/>
      <c r="C63" s="37"/>
      <c r="D63" s="38"/>
      <c r="E63" s="37"/>
      <c r="F63" s="38"/>
      <c r="G63" s="37"/>
      <c r="H63" s="38"/>
      <c r="I63" s="37"/>
      <c r="J63" s="40"/>
      <c r="K63" s="37"/>
      <c r="L63" s="40"/>
      <c r="M63" s="37"/>
      <c r="N63" s="40"/>
      <c r="O63" s="37"/>
      <c r="P63" s="38"/>
      <c r="Q63" s="37"/>
      <c r="R63" s="37"/>
      <c r="S63" s="37"/>
    </row>
    <row r="64" spans="1:19" x14ac:dyDescent="0.25">
      <c r="A64" s="37"/>
      <c r="C64" s="37"/>
      <c r="D64" s="38"/>
      <c r="E64" s="37"/>
      <c r="F64" s="38"/>
      <c r="G64" s="37"/>
      <c r="H64" s="40"/>
      <c r="I64" s="37"/>
      <c r="J64" s="40"/>
      <c r="K64" s="37"/>
      <c r="L64" s="40"/>
      <c r="M64" s="37"/>
      <c r="N64" s="40"/>
      <c r="O64" s="37"/>
      <c r="P64" s="40"/>
      <c r="Q64" s="37"/>
      <c r="R64" s="37"/>
      <c r="S64" s="37"/>
    </row>
    <row r="65" spans="1:19" x14ac:dyDescent="0.25">
      <c r="A65" s="37"/>
      <c r="C65" s="37"/>
      <c r="D65" s="38"/>
      <c r="E65" s="37"/>
      <c r="F65" s="38"/>
      <c r="G65" s="37"/>
      <c r="H65" s="40"/>
      <c r="I65" s="37"/>
      <c r="J65" s="40"/>
      <c r="K65" s="37"/>
      <c r="L65" s="40"/>
      <c r="M65" s="37"/>
      <c r="N65" s="40"/>
      <c r="O65" s="37"/>
      <c r="P65" s="40"/>
      <c r="Q65" s="37"/>
      <c r="R65" s="8"/>
      <c r="S65" s="37"/>
    </row>
    <row r="66" spans="1:19" x14ac:dyDescent="0.25">
      <c r="A66" s="37"/>
      <c r="C66" s="37"/>
      <c r="D66" s="38"/>
      <c r="E66" s="37"/>
      <c r="F66" s="38"/>
      <c r="G66" s="37"/>
      <c r="H66" s="38"/>
      <c r="I66" s="37"/>
      <c r="J66" s="38"/>
      <c r="K66" s="37"/>
      <c r="L66" s="38"/>
      <c r="M66" s="37"/>
      <c r="N66" s="38"/>
      <c r="O66" s="37"/>
      <c r="P66" s="38"/>
      <c r="Q66" s="37"/>
      <c r="R66" s="37"/>
      <c r="S66" s="37"/>
    </row>
    <row r="67" spans="1:19" x14ac:dyDescent="0.25">
      <c r="A67" s="37"/>
      <c r="C67" s="37"/>
      <c r="D67" s="38"/>
      <c r="E67" s="37"/>
      <c r="F67" s="38"/>
      <c r="G67" s="37"/>
      <c r="H67" s="38"/>
      <c r="I67" s="37"/>
      <c r="J67" s="38"/>
      <c r="K67" s="37"/>
      <c r="L67" s="38"/>
      <c r="M67" s="37"/>
      <c r="N67" s="38"/>
      <c r="O67" s="37"/>
      <c r="P67" s="38"/>
      <c r="Q67" s="37"/>
      <c r="R67" s="37"/>
      <c r="S67" s="37"/>
    </row>
    <row r="68" spans="1:19" x14ac:dyDescent="0.25">
      <c r="A68" s="37"/>
      <c r="C68" s="37"/>
      <c r="D68" s="38"/>
      <c r="E68" s="37"/>
      <c r="F68" s="38"/>
      <c r="G68" s="37"/>
      <c r="H68" s="38"/>
      <c r="I68" s="37"/>
      <c r="J68" s="38"/>
      <c r="K68" s="37"/>
      <c r="L68" s="38"/>
      <c r="M68" s="37"/>
      <c r="N68" s="38"/>
      <c r="O68" s="37"/>
      <c r="P68" s="38"/>
      <c r="Q68" s="37"/>
      <c r="R68" s="37"/>
      <c r="S68" s="37"/>
    </row>
    <row r="69" spans="1:19" x14ac:dyDescent="0.25">
      <c r="A69" s="37"/>
      <c r="C69" s="37"/>
      <c r="D69" s="38"/>
      <c r="E69" s="37"/>
      <c r="F69" s="38"/>
      <c r="G69" s="37"/>
      <c r="H69" s="38"/>
      <c r="I69" s="37"/>
      <c r="J69" s="38"/>
      <c r="K69" s="37"/>
      <c r="L69" s="38"/>
      <c r="M69" s="37"/>
      <c r="N69" s="38"/>
      <c r="O69" s="37"/>
      <c r="P69" s="38"/>
      <c r="Q69" s="37"/>
      <c r="R69" s="37"/>
      <c r="S69" s="37"/>
    </row>
    <row r="70" spans="1:19" x14ac:dyDescent="0.25">
      <c r="A70" s="37"/>
      <c r="C70" s="37"/>
      <c r="D70" s="38"/>
      <c r="E70" s="37"/>
      <c r="F70" s="38"/>
      <c r="G70" s="37"/>
      <c r="H70" s="38"/>
      <c r="I70" s="37"/>
      <c r="J70" s="38"/>
      <c r="K70" s="37"/>
      <c r="L70" s="38"/>
      <c r="M70" s="37"/>
      <c r="N70" s="38"/>
      <c r="O70" s="37"/>
      <c r="P70" s="38"/>
      <c r="Q70" s="37"/>
      <c r="R70" s="37"/>
      <c r="S70" s="37"/>
    </row>
    <row r="71" spans="1:19" x14ac:dyDescent="0.25">
      <c r="A71" s="37"/>
      <c r="C71" s="37"/>
      <c r="D71" s="38"/>
      <c r="E71" s="37"/>
      <c r="F71" s="38"/>
      <c r="G71" s="37"/>
      <c r="H71" s="38"/>
      <c r="I71" s="37"/>
      <c r="J71" s="38"/>
      <c r="K71" s="37"/>
      <c r="L71" s="38"/>
      <c r="M71" s="37"/>
      <c r="N71" s="38"/>
      <c r="O71" s="37"/>
      <c r="P71" s="38"/>
      <c r="Q71" s="37"/>
      <c r="R71" s="41"/>
      <c r="S71" s="37"/>
    </row>
    <row r="72" spans="1:19" x14ac:dyDescent="0.25">
      <c r="A72" s="37"/>
      <c r="C72" s="37"/>
      <c r="D72" s="38"/>
      <c r="E72" s="37"/>
      <c r="F72" s="38"/>
      <c r="G72" s="37"/>
      <c r="H72" s="38"/>
      <c r="I72" s="37"/>
      <c r="J72" s="38"/>
      <c r="K72" s="37"/>
      <c r="L72" s="38"/>
      <c r="M72" s="37"/>
      <c r="N72" s="38"/>
      <c r="O72" s="37"/>
      <c r="P72" s="38"/>
      <c r="Q72" s="37"/>
      <c r="R72" s="37"/>
      <c r="S72" s="37"/>
    </row>
    <row r="73" spans="1:19" x14ac:dyDescent="0.25">
      <c r="A73" s="37"/>
      <c r="C73" s="37"/>
      <c r="D73" s="38"/>
      <c r="E73" s="37"/>
      <c r="F73" s="38"/>
      <c r="G73" s="42"/>
      <c r="H73" s="38"/>
      <c r="I73" s="37"/>
      <c r="J73" s="38"/>
      <c r="K73" s="37"/>
      <c r="L73" s="38"/>
      <c r="M73" s="37"/>
      <c r="N73" s="38"/>
      <c r="O73" s="37"/>
      <c r="P73" s="38"/>
      <c r="Q73" s="37"/>
      <c r="R73" s="37"/>
      <c r="S73" s="37"/>
    </row>
    <row r="74" spans="1:19" x14ac:dyDescent="0.25">
      <c r="A74" s="37"/>
      <c r="C74" s="37"/>
      <c r="D74" s="38"/>
      <c r="E74" s="37"/>
      <c r="F74" s="38"/>
      <c r="G74" s="43"/>
      <c r="H74" s="38"/>
      <c r="I74" s="37"/>
      <c r="J74" s="38"/>
      <c r="K74" s="37"/>
      <c r="L74" s="38"/>
      <c r="M74" s="37"/>
      <c r="N74" s="38"/>
      <c r="O74" s="37"/>
      <c r="P74" s="38"/>
      <c r="Q74" s="37"/>
      <c r="R74" s="37"/>
      <c r="S74" s="37"/>
    </row>
    <row r="75" spans="1:19" x14ac:dyDescent="0.25">
      <c r="A75" s="37"/>
      <c r="C75" s="37"/>
      <c r="D75" s="38"/>
      <c r="E75" s="37"/>
      <c r="F75" s="38"/>
      <c r="G75" s="43"/>
      <c r="H75" s="38"/>
      <c r="I75" s="37"/>
      <c r="J75" s="38"/>
      <c r="K75" s="37"/>
      <c r="L75" s="38"/>
      <c r="M75" s="37"/>
      <c r="N75" s="38"/>
      <c r="O75" s="37"/>
      <c r="P75" s="38"/>
      <c r="Q75" s="37"/>
      <c r="R75" s="37"/>
      <c r="S75" s="37"/>
    </row>
    <row r="76" spans="1:19" x14ac:dyDescent="0.25">
      <c r="A76" s="37"/>
      <c r="C76" s="37"/>
      <c r="D76" s="38"/>
      <c r="E76" s="37"/>
      <c r="F76" s="38"/>
      <c r="G76" s="43"/>
      <c r="H76" s="38"/>
      <c r="I76" s="37"/>
      <c r="J76" s="38"/>
      <c r="K76" s="37"/>
      <c r="L76" s="38"/>
      <c r="M76" s="37"/>
      <c r="N76" s="38"/>
      <c r="O76" s="37"/>
      <c r="P76" s="38"/>
      <c r="Q76" s="37"/>
      <c r="R76" s="37"/>
      <c r="S76" s="37"/>
    </row>
    <row r="77" spans="1:19" x14ac:dyDescent="0.25">
      <c r="A77" s="37"/>
      <c r="C77" s="37"/>
      <c r="D77" s="38"/>
      <c r="E77" s="37"/>
      <c r="F77" s="38"/>
      <c r="G77" s="43"/>
      <c r="H77" s="38"/>
      <c r="I77" s="37"/>
      <c r="J77" s="38"/>
      <c r="K77" s="37"/>
      <c r="L77" s="38"/>
      <c r="M77" s="37"/>
      <c r="N77" s="38"/>
      <c r="O77" s="37"/>
      <c r="P77" s="38"/>
      <c r="Q77" s="37"/>
      <c r="R77" s="37"/>
      <c r="S77" s="37"/>
    </row>
    <row r="78" spans="1:19" x14ac:dyDescent="0.25">
      <c r="A78" s="37"/>
      <c r="C78" s="37"/>
      <c r="D78" s="38"/>
      <c r="E78" s="37"/>
      <c r="F78" s="38"/>
      <c r="G78" s="37"/>
      <c r="H78" s="38"/>
      <c r="I78" s="37"/>
      <c r="J78" s="38"/>
      <c r="K78" s="37"/>
      <c r="L78" s="38"/>
      <c r="M78" s="37"/>
      <c r="N78" s="38"/>
      <c r="O78" s="37"/>
      <c r="P78" s="38"/>
      <c r="Q78" s="37"/>
      <c r="R78" s="37"/>
      <c r="S78" s="37"/>
    </row>
    <row r="79" spans="1:19" x14ac:dyDescent="0.25">
      <c r="A79" s="37"/>
      <c r="C79" s="37"/>
      <c r="D79" s="38"/>
      <c r="E79" s="37"/>
      <c r="F79" s="38"/>
      <c r="G79" s="37"/>
      <c r="H79" s="38"/>
      <c r="I79" s="37"/>
      <c r="J79" s="38"/>
      <c r="K79" s="37"/>
      <c r="L79" s="38"/>
      <c r="M79" s="37"/>
      <c r="N79" s="38"/>
      <c r="O79" s="37"/>
      <c r="P79" s="38"/>
      <c r="Q79" s="37"/>
      <c r="R79" s="37"/>
      <c r="S79" s="37"/>
    </row>
    <row r="80" spans="1:19" x14ac:dyDescent="0.25">
      <c r="A80" s="37"/>
      <c r="C80" s="37"/>
      <c r="D80" s="38"/>
      <c r="E80" s="37"/>
      <c r="F80" s="38"/>
      <c r="G80" s="37"/>
      <c r="H80" s="38"/>
      <c r="I80" s="37"/>
      <c r="J80" s="38"/>
      <c r="K80" s="37"/>
      <c r="L80" s="38"/>
      <c r="M80" s="37"/>
      <c r="N80" s="38"/>
      <c r="O80" s="37"/>
      <c r="P80" s="38"/>
      <c r="Q80" s="37"/>
      <c r="R80" s="37"/>
      <c r="S80" s="37"/>
    </row>
    <row r="81" spans="1:19" x14ac:dyDescent="0.25">
      <c r="A81" s="37"/>
      <c r="C81" s="37"/>
      <c r="D81" s="38"/>
      <c r="E81" s="37"/>
      <c r="F81" s="38"/>
      <c r="G81" s="37"/>
      <c r="H81" s="38"/>
      <c r="I81" s="37"/>
      <c r="J81" s="38"/>
      <c r="K81" s="37"/>
      <c r="L81" s="38"/>
      <c r="M81" s="37"/>
      <c r="N81" s="38"/>
      <c r="O81" s="37"/>
      <c r="P81" s="38"/>
      <c r="Q81" s="37"/>
      <c r="R81" s="37"/>
      <c r="S81" s="37"/>
    </row>
    <row r="82" spans="1:19" x14ac:dyDescent="0.25">
      <c r="A82" s="37"/>
      <c r="C82" s="37"/>
      <c r="D82" s="38"/>
      <c r="E82" s="37"/>
      <c r="F82" s="38"/>
      <c r="G82" s="37"/>
      <c r="H82" s="38"/>
      <c r="I82" s="37"/>
      <c r="J82" s="38"/>
      <c r="K82" s="37"/>
      <c r="L82" s="38"/>
      <c r="M82" s="37"/>
      <c r="N82" s="38"/>
      <c r="O82" s="37"/>
      <c r="P82" s="38"/>
      <c r="Q82" s="37"/>
      <c r="R82" s="37"/>
      <c r="S82" s="37"/>
    </row>
    <row r="83" spans="1:19" x14ac:dyDescent="0.25">
      <c r="A83" s="37"/>
      <c r="C83" s="37"/>
      <c r="D83" s="38"/>
      <c r="E83" s="37"/>
      <c r="F83" s="38"/>
      <c r="G83" s="37"/>
      <c r="H83" s="38"/>
      <c r="I83" s="37"/>
      <c r="J83" s="38"/>
      <c r="K83" s="37"/>
      <c r="L83" s="38"/>
      <c r="M83" s="37"/>
      <c r="N83" s="38"/>
      <c r="O83" s="37"/>
      <c r="P83" s="38"/>
      <c r="Q83" s="37"/>
      <c r="R83" s="37"/>
      <c r="S83" s="37"/>
    </row>
    <row r="84" spans="1:19" x14ac:dyDescent="0.25">
      <c r="A84" s="37"/>
      <c r="C84" s="37"/>
      <c r="D84" s="38"/>
      <c r="E84" s="37"/>
      <c r="F84" s="38"/>
      <c r="G84" s="37"/>
      <c r="H84" s="38"/>
      <c r="I84" s="37"/>
      <c r="J84" s="38"/>
      <c r="K84" s="37"/>
      <c r="L84" s="38"/>
      <c r="M84" s="37"/>
      <c r="N84" s="38"/>
      <c r="O84" s="37"/>
      <c r="P84" s="38"/>
      <c r="Q84" s="37"/>
      <c r="R84" s="37"/>
      <c r="S84" s="37"/>
    </row>
    <row r="85" spans="1:19" x14ac:dyDescent="0.25">
      <c r="A85" s="37"/>
      <c r="C85" s="37"/>
      <c r="D85" s="38"/>
      <c r="E85" s="37"/>
      <c r="F85" s="38"/>
      <c r="G85" s="37"/>
      <c r="H85" s="38"/>
      <c r="I85" s="37"/>
      <c r="J85" s="38"/>
      <c r="K85" s="37"/>
      <c r="L85" s="38"/>
      <c r="M85" s="37"/>
      <c r="N85" s="38"/>
      <c r="O85" s="37"/>
      <c r="P85" s="38"/>
      <c r="Q85" s="37"/>
      <c r="R85" s="37"/>
      <c r="S85" s="37"/>
    </row>
    <row r="86" spans="1:19" x14ac:dyDescent="0.25">
      <c r="A86" s="37"/>
      <c r="C86" s="37"/>
      <c r="D86" s="38"/>
      <c r="E86" s="37"/>
      <c r="F86" s="38"/>
      <c r="G86" s="37"/>
      <c r="H86" s="38"/>
      <c r="I86" s="37"/>
      <c r="J86" s="38"/>
      <c r="K86" s="37"/>
      <c r="L86" s="38"/>
      <c r="M86" s="37"/>
      <c r="N86" s="38"/>
      <c r="O86" s="37"/>
      <c r="P86" s="38"/>
      <c r="Q86" s="37"/>
      <c r="R86" s="37"/>
      <c r="S86" s="37"/>
    </row>
    <row r="87" spans="1:19" x14ac:dyDescent="0.25">
      <c r="A87" s="37"/>
      <c r="C87" s="37"/>
      <c r="D87" s="38"/>
      <c r="E87" s="37"/>
      <c r="F87" s="38"/>
      <c r="G87" s="37"/>
      <c r="H87" s="38"/>
      <c r="I87" s="37"/>
      <c r="J87" s="38"/>
      <c r="K87" s="37"/>
      <c r="L87" s="38"/>
      <c r="M87" s="37"/>
      <c r="N87" s="38"/>
      <c r="O87" s="37"/>
      <c r="P87" s="38"/>
      <c r="Q87" s="37"/>
      <c r="R87" s="37"/>
      <c r="S87" s="37"/>
    </row>
    <row r="88" spans="1:19" x14ac:dyDescent="0.25">
      <c r="A88" s="37"/>
      <c r="C88" s="37"/>
      <c r="D88" s="38"/>
      <c r="E88" s="37"/>
      <c r="F88" s="38"/>
      <c r="G88" s="37"/>
      <c r="H88" s="38"/>
      <c r="I88" s="37"/>
      <c r="J88" s="38"/>
      <c r="K88" s="37"/>
      <c r="L88" s="38"/>
      <c r="M88" s="37"/>
      <c r="N88" s="38"/>
      <c r="O88" s="37"/>
      <c r="P88" s="38"/>
      <c r="Q88" s="37"/>
      <c r="R88" s="37"/>
      <c r="S88" s="37"/>
    </row>
    <row r="89" spans="1:19" x14ac:dyDescent="0.25">
      <c r="A89" s="37"/>
      <c r="C89" s="37"/>
      <c r="D89" s="38"/>
      <c r="E89" s="37"/>
      <c r="F89" s="38"/>
      <c r="G89" s="37"/>
      <c r="H89" s="38"/>
      <c r="I89" s="37"/>
      <c r="J89" s="38"/>
      <c r="K89" s="37"/>
      <c r="L89" s="38"/>
      <c r="M89" s="37"/>
      <c r="N89" s="38"/>
      <c r="O89" s="37"/>
      <c r="P89" s="38"/>
      <c r="Q89" s="37"/>
      <c r="R89" s="37"/>
      <c r="S89" s="37"/>
    </row>
    <row r="90" spans="1:19" x14ac:dyDescent="0.25">
      <c r="A90" s="37"/>
      <c r="C90" s="37"/>
      <c r="D90" s="38"/>
      <c r="E90" s="37"/>
      <c r="F90" s="38"/>
      <c r="G90" s="37"/>
      <c r="H90" s="38"/>
      <c r="I90" s="37"/>
      <c r="J90" s="38"/>
      <c r="K90" s="37"/>
      <c r="L90" s="38"/>
      <c r="M90" s="37"/>
      <c r="N90" s="38"/>
      <c r="O90" s="37"/>
      <c r="P90" s="38"/>
      <c r="Q90" s="37"/>
      <c r="R90" s="37"/>
      <c r="S90" s="37"/>
    </row>
    <row r="91" spans="1:19" x14ac:dyDescent="0.25">
      <c r="A91" s="37"/>
      <c r="C91" s="37"/>
      <c r="D91" s="38"/>
      <c r="E91" s="37"/>
      <c r="F91" s="38"/>
      <c r="G91" s="37"/>
      <c r="H91" s="38"/>
      <c r="I91" s="37"/>
      <c r="J91" s="38"/>
      <c r="K91" s="37"/>
      <c r="L91" s="38"/>
      <c r="M91" s="37"/>
      <c r="N91" s="38"/>
      <c r="O91" s="37"/>
      <c r="P91" s="38"/>
      <c r="Q91" s="37"/>
      <c r="R91" s="37"/>
      <c r="S91" s="37"/>
    </row>
    <row r="92" spans="1:19" x14ac:dyDescent="0.25">
      <c r="A92" s="37"/>
      <c r="C92" s="37"/>
      <c r="D92" s="38"/>
      <c r="E92" s="37"/>
      <c r="F92" s="38"/>
      <c r="G92" s="37"/>
      <c r="H92" s="38"/>
      <c r="I92" s="37"/>
      <c r="J92" s="38"/>
      <c r="K92" s="37"/>
      <c r="L92" s="38"/>
      <c r="M92" s="37"/>
      <c r="N92" s="38"/>
      <c r="O92" s="37"/>
      <c r="P92" s="38"/>
      <c r="Q92" s="37"/>
      <c r="R92" s="37"/>
      <c r="S92" s="37"/>
    </row>
    <row r="93" spans="1:19" x14ac:dyDescent="0.25">
      <c r="A93" s="37"/>
      <c r="C93" s="37"/>
      <c r="D93" s="38"/>
      <c r="E93" s="37"/>
      <c r="F93" s="38"/>
      <c r="G93" s="37"/>
      <c r="H93" s="38"/>
      <c r="I93" s="37"/>
      <c r="J93" s="38"/>
      <c r="K93" s="37"/>
      <c r="L93" s="38"/>
      <c r="M93" s="37"/>
      <c r="N93" s="38"/>
      <c r="O93" s="37"/>
      <c r="P93" s="38"/>
      <c r="Q93" s="37"/>
      <c r="R93" s="37"/>
      <c r="S93" s="37"/>
    </row>
    <row r="94" spans="1:19" x14ac:dyDescent="0.25">
      <c r="A94" s="37"/>
      <c r="C94" s="37"/>
      <c r="D94" s="38"/>
      <c r="E94" s="37"/>
      <c r="F94" s="38"/>
      <c r="G94" s="37"/>
      <c r="H94" s="38"/>
      <c r="I94" s="37"/>
      <c r="J94" s="38"/>
      <c r="K94" s="37"/>
      <c r="L94" s="38"/>
      <c r="M94" s="37"/>
      <c r="N94" s="38"/>
      <c r="O94" s="37"/>
      <c r="P94" s="38"/>
      <c r="Q94" s="37"/>
      <c r="R94" s="37"/>
      <c r="S94" s="37"/>
    </row>
    <row r="95" spans="1:19" x14ac:dyDescent="0.25">
      <c r="A95" s="37"/>
      <c r="C95" s="37"/>
      <c r="D95" s="38"/>
      <c r="E95" s="37"/>
      <c r="F95" s="38"/>
      <c r="G95" s="37"/>
      <c r="H95" s="38"/>
      <c r="I95" s="37"/>
      <c r="J95" s="38"/>
      <c r="K95" s="37"/>
      <c r="L95" s="38"/>
      <c r="M95" s="37"/>
      <c r="N95" s="38"/>
      <c r="O95" s="37"/>
      <c r="P95" s="38"/>
      <c r="Q95" s="37"/>
      <c r="R95" s="37"/>
      <c r="S95" s="37"/>
    </row>
    <row r="96" spans="1:19" x14ac:dyDescent="0.25">
      <c r="A96" s="37"/>
      <c r="C96" s="37"/>
      <c r="D96" s="38"/>
      <c r="E96" s="37"/>
      <c r="F96" s="38"/>
      <c r="G96" s="37"/>
      <c r="H96" s="38"/>
      <c r="I96" s="37"/>
      <c r="J96" s="38"/>
      <c r="K96" s="37"/>
      <c r="L96" s="38"/>
      <c r="M96" s="37"/>
      <c r="N96" s="38"/>
      <c r="O96" s="37"/>
      <c r="P96" s="38"/>
      <c r="Q96" s="37"/>
      <c r="R96" s="37"/>
      <c r="S96" s="37"/>
    </row>
    <row r="97" spans="1:19" x14ac:dyDescent="0.25">
      <c r="A97" s="37"/>
      <c r="C97" s="37"/>
      <c r="D97" s="38"/>
      <c r="E97" s="37"/>
      <c r="F97" s="38"/>
      <c r="G97" s="37"/>
      <c r="H97" s="38"/>
      <c r="I97" s="37"/>
      <c r="J97" s="38"/>
      <c r="K97" s="37"/>
      <c r="L97" s="38"/>
      <c r="M97" s="37"/>
      <c r="N97" s="38"/>
      <c r="O97" s="37"/>
      <c r="P97" s="38"/>
      <c r="Q97" s="37"/>
      <c r="R97" s="37"/>
      <c r="S97" s="37"/>
    </row>
    <row r="98" spans="1:19" x14ac:dyDescent="0.25">
      <c r="A98" s="37"/>
      <c r="C98" s="37"/>
      <c r="D98" s="38"/>
      <c r="E98" s="37"/>
      <c r="F98" s="38"/>
      <c r="G98" s="37"/>
      <c r="H98" s="38"/>
      <c r="I98" s="37"/>
      <c r="J98" s="38"/>
      <c r="K98" s="37"/>
      <c r="L98" s="38"/>
      <c r="M98" s="37"/>
      <c r="N98" s="38"/>
      <c r="O98" s="37"/>
      <c r="P98" s="38"/>
      <c r="Q98" s="37"/>
      <c r="R98" s="37"/>
      <c r="S98" s="37"/>
    </row>
    <row r="99" spans="1:19" x14ac:dyDescent="0.25">
      <c r="A99" s="37"/>
      <c r="C99" s="37"/>
      <c r="D99" s="38"/>
      <c r="E99" s="37"/>
      <c r="F99" s="38"/>
      <c r="G99" s="37"/>
      <c r="H99" s="38"/>
      <c r="I99" s="37"/>
      <c r="J99" s="38"/>
      <c r="K99" s="37"/>
      <c r="L99" s="38"/>
      <c r="M99" s="37"/>
      <c r="N99" s="38"/>
      <c r="O99" s="37"/>
      <c r="P99" s="38"/>
      <c r="Q99" s="37"/>
      <c r="R99" s="37"/>
      <c r="S99" s="37"/>
    </row>
    <row r="100" spans="1:19" x14ac:dyDescent="0.25">
      <c r="A100" s="37"/>
      <c r="C100" s="37"/>
      <c r="D100" s="38"/>
      <c r="E100" s="37"/>
      <c r="F100" s="38"/>
      <c r="G100" s="37"/>
      <c r="H100" s="38"/>
      <c r="I100" s="37"/>
      <c r="J100" s="38"/>
      <c r="K100" s="37"/>
      <c r="L100" s="38"/>
      <c r="M100" s="37"/>
      <c r="N100" s="38"/>
      <c r="O100" s="37"/>
      <c r="P100" s="38"/>
      <c r="Q100" s="37"/>
      <c r="R100" s="37"/>
      <c r="S100" s="37"/>
    </row>
    <row r="101" spans="1:19" x14ac:dyDescent="0.25">
      <c r="A101" s="37"/>
      <c r="C101" s="37"/>
      <c r="D101" s="38"/>
      <c r="E101" s="37"/>
      <c r="F101" s="38"/>
      <c r="G101" s="37"/>
      <c r="H101" s="38"/>
      <c r="I101" s="37"/>
      <c r="J101" s="38"/>
      <c r="K101" s="37"/>
      <c r="L101" s="38"/>
      <c r="M101" s="37"/>
      <c r="N101" s="38"/>
      <c r="O101" s="37"/>
      <c r="P101" s="38"/>
      <c r="Q101" s="37"/>
      <c r="R101" s="37"/>
      <c r="S101" s="37"/>
    </row>
    <row r="102" spans="1:19" x14ac:dyDescent="0.25">
      <c r="A102" s="37"/>
      <c r="C102" s="37"/>
      <c r="D102" s="38"/>
      <c r="E102" s="37"/>
      <c r="F102" s="38"/>
      <c r="G102" s="37"/>
      <c r="H102" s="38"/>
      <c r="I102" s="37"/>
      <c r="J102" s="38"/>
      <c r="K102" s="37"/>
      <c r="L102" s="38"/>
      <c r="M102" s="37"/>
      <c r="N102" s="38"/>
      <c r="O102" s="37"/>
      <c r="P102" s="38"/>
      <c r="Q102" s="37"/>
      <c r="R102" s="37"/>
      <c r="S102" s="37"/>
    </row>
    <row r="103" spans="1:19" x14ac:dyDescent="0.25">
      <c r="A103" s="37"/>
      <c r="C103" s="37"/>
      <c r="D103" s="38"/>
      <c r="E103" s="37"/>
      <c r="F103" s="38"/>
      <c r="G103" s="37"/>
      <c r="H103" s="38"/>
      <c r="I103" s="37"/>
      <c r="J103" s="38"/>
      <c r="K103" s="37"/>
      <c r="L103" s="38"/>
      <c r="M103" s="37"/>
      <c r="N103" s="38"/>
      <c r="O103" s="37"/>
      <c r="P103" s="38"/>
      <c r="Q103" s="37"/>
      <c r="R103" s="37"/>
      <c r="S103" s="37"/>
    </row>
    <row r="104" spans="1:19" x14ac:dyDescent="0.25">
      <c r="A104" s="37"/>
      <c r="C104" s="37"/>
      <c r="D104" s="38"/>
      <c r="E104" s="37"/>
      <c r="F104" s="38"/>
      <c r="G104" s="37"/>
      <c r="H104" s="38"/>
      <c r="I104" s="37"/>
      <c r="J104" s="38"/>
      <c r="K104" s="37"/>
      <c r="L104" s="38"/>
      <c r="M104" s="37"/>
      <c r="N104" s="38"/>
      <c r="O104" s="37"/>
      <c r="P104" s="38"/>
      <c r="Q104" s="37"/>
      <c r="R104" s="37"/>
      <c r="S104" s="37"/>
    </row>
    <row r="105" spans="1:19" x14ac:dyDescent="0.25">
      <c r="A105" s="37"/>
      <c r="C105" s="37"/>
      <c r="D105" s="38"/>
      <c r="E105" s="37"/>
      <c r="F105" s="38"/>
      <c r="G105" s="37"/>
      <c r="H105" s="38"/>
      <c r="I105" s="37"/>
      <c r="J105" s="38"/>
      <c r="K105" s="37"/>
      <c r="L105" s="38"/>
      <c r="M105" s="37"/>
      <c r="N105" s="38"/>
      <c r="O105" s="37"/>
      <c r="P105" s="38"/>
      <c r="Q105" s="37"/>
      <c r="R105" s="37"/>
      <c r="S105" s="37"/>
    </row>
    <row r="106" spans="1:19" x14ac:dyDescent="0.25">
      <c r="A106" s="37"/>
      <c r="C106" s="37"/>
      <c r="D106" s="38"/>
      <c r="E106" s="37"/>
      <c r="F106" s="38"/>
      <c r="G106" s="37"/>
      <c r="H106" s="38"/>
      <c r="I106" s="37"/>
      <c r="J106" s="38"/>
      <c r="K106" s="37"/>
      <c r="L106" s="38"/>
      <c r="M106" s="37"/>
      <c r="N106" s="38"/>
      <c r="O106" s="37"/>
      <c r="P106" s="38"/>
      <c r="Q106" s="37"/>
      <c r="R106" s="37"/>
      <c r="S106" s="37"/>
    </row>
    <row r="107" spans="1:19" x14ac:dyDescent="0.25">
      <c r="A107" s="37"/>
      <c r="C107" s="37"/>
      <c r="D107" s="38"/>
      <c r="E107" s="37"/>
      <c r="F107" s="38"/>
      <c r="G107" s="37"/>
      <c r="H107" s="38"/>
      <c r="I107" s="37"/>
      <c r="J107" s="38"/>
      <c r="K107" s="37"/>
      <c r="L107" s="38"/>
      <c r="M107" s="37"/>
      <c r="N107" s="38"/>
      <c r="O107" s="37"/>
      <c r="P107" s="38"/>
      <c r="Q107" s="37"/>
      <c r="R107" s="37"/>
      <c r="S107" s="37"/>
    </row>
    <row r="108" spans="1:19" x14ac:dyDescent="0.25">
      <c r="A108" s="37"/>
      <c r="C108" s="37"/>
      <c r="D108" s="38"/>
      <c r="E108" s="37"/>
      <c r="F108" s="38"/>
      <c r="G108" s="37"/>
      <c r="H108" s="38"/>
      <c r="I108" s="37"/>
      <c r="J108" s="38"/>
      <c r="K108" s="37"/>
      <c r="L108" s="38"/>
      <c r="M108" s="37"/>
      <c r="N108" s="38"/>
      <c r="O108" s="37"/>
      <c r="P108" s="38"/>
      <c r="Q108" s="37"/>
      <c r="R108" s="37"/>
      <c r="S108" s="37"/>
    </row>
    <row r="109" spans="1:19" x14ac:dyDescent="0.25">
      <c r="A109" s="37"/>
      <c r="C109" s="37"/>
      <c r="D109" s="38"/>
      <c r="E109" s="37"/>
      <c r="F109" s="38"/>
      <c r="G109" s="37"/>
      <c r="H109" s="38"/>
      <c r="I109" s="37"/>
      <c r="J109" s="38"/>
      <c r="K109" s="37"/>
      <c r="L109" s="38"/>
      <c r="M109" s="37"/>
      <c r="N109" s="38"/>
      <c r="O109" s="37"/>
      <c r="P109" s="38"/>
      <c r="Q109" s="37"/>
      <c r="R109" s="37"/>
      <c r="S109" s="37"/>
    </row>
    <row r="110" spans="1:19" x14ac:dyDescent="0.25">
      <c r="A110" s="37"/>
      <c r="C110" s="37"/>
      <c r="D110" s="38"/>
      <c r="E110" s="37"/>
      <c r="F110" s="38"/>
      <c r="G110" s="37"/>
      <c r="H110" s="38"/>
      <c r="I110" s="37"/>
      <c r="J110" s="38"/>
      <c r="K110" s="37"/>
      <c r="L110" s="38"/>
      <c r="M110" s="37"/>
      <c r="N110" s="38"/>
      <c r="O110" s="37"/>
      <c r="P110" s="38"/>
      <c r="Q110" s="37"/>
      <c r="R110" s="37"/>
      <c r="S110" s="37"/>
    </row>
    <row r="111" spans="1:19" x14ac:dyDescent="0.25">
      <c r="A111" s="37"/>
      <c r="C111" s="37"/>
      <c r="D111" s="38"/>
      <c r="E111" s="37"/>
      <c r="F111" s="38"/>
      <c r="G111" s="37"/>
      <c r="H111" s="38"/>
      <c r="I111" s="37"/>
      <c r="J111" s="38"/>
      <c r="K111" s="37"/>
      <c r="L111" s="38"/>
      <c r="M111" s="37"/>
      <c r="N111" s="38"/>
      <c r="O111" s="37"/>
      <c r="P111" s="38"/>
      <c r="Q111" s="37"/>
      <c r="R111" s="37"/>
      <c r="S111" s="37"/>
    </row>
    <row r="112" spans="1:19" x14ac:dyDescent="0.25">
      <c r="A112" s="37"/>
      <c r="C112" s="37"/>
      <c r="D112" s="38"/>
      <c r="E112" s="37"/>
      <c r="F112" s="38"/>
      <c r="G112" s="37"/>
      <c r="H112" s="38"/>
      <c r="I112" s="37"/>
      <c r="J112" s="38"/>
      <c r="K112" s="37"/>
      <c r="L112" s="38"/>
      <c r="M112" s="37"/>
      <c r="N112" s="38"/>
      <c r="O112" s="37"/>
      <c r="P112" s="38"/>
      <c r="Q112" s="37"/>
      <c r="R112" s="37"/>
      <c r="S112" s="37"/>
    </row>
    <row r="113" spans="1:19" x14ac:dyDescent="0.25">
      <c r="A113" s="37"/>
      <c r="C113" s="37"/>
      <c r="D113" s="38"/>
      <c r="E113" s="37"/>
      <c r="F113" s="38"/>
      <c r="G113" s="37"/>
      <c r="H113" s="38"/>
      <c r="I113" s="37"/>
      <c r="J113" s="38"/>
      <c r="K113" s="37"/>
      <c r="L113" s="38"/>
      <c r="M113" s="37"/>
      <c r="N113" s="38"/>
      <c r="O113" s="37"/>
      <c r="P113" s="38"/>
      <c r="Q113" s="37"/>
      <c r="R113" s="37"/>
      <c r="S113" s="37"/>
    </row>
    <row r="114" spans="1:19" x14ac:dyDescent="0.25">
      <c r="A114" s="37"/>
      <c r="C114" s="37"/>
      <c r="D114" s="38"/>
      <c r="E114" s="37"/>
      <c r="F114" s="38"/>
      <c r="G114" s="37"/>
      <c r="H114" s="38"/>
      <c r="I114" s="37"/>
      <c r="J114" s="38"/>
      <c r="K114" s="37"/>
      <c r="L114" s="38"/>
      <c r="M114" s="37"/>
      <c r="N114" s="38"/>
      <c r="O114" s="37"/>
      <c r="P114" s="38"/>
      <c r="Q114" s="37"/>
      <c r="R114" s="37"/>
      <c r="S114" s="37"/>
    </row>
    <row r="115" spans="1:19" x14ac:dyDescent="0.25">
      <c r="A115" s="37"/>
      <c r="C115" s="37"/>
      <c r="D115" s="38"/>
      <c r="E115" s="37"/>
      <c r="F115" s="38"/>
      <c r="G115" s="37"/>
      <c r="H115" s="38"/>
      <c r="I115" s="37"/>
      <c r="J115" s="38"/>
      <c r="K115" s="37"/>
      <c r="L115" s="38"/>
      <c r="M115" s="37"/>
      <c r="N115" s="38"/>
      <c r="O115" s="37"/>
      <c r="P115" s="38"/>
      <c r="Q115" s="37"/>
      <c r="R115" s="37"/>
      <c r="S115" s="37"/>
    </row>
    <row r="116" spans="1:19" x14ac:dyDescent="0.25">
      <c r="A116" s="37"/>
      <c r="C116" s="37"/>
      <c r="D116" s="38"/>
      <c r="E116" s="37"/>
      <c r="F116" s="38"/>
      <c r="G116" s="37"/>
      <c r="H116" s="38"/>
      <c r="I116" s="37"/>
      <c r="J116" s="38"/>
      <c r="K116" s="37"/>
      <c r="L116" s="38"/>
      <c r="M116" s="37"/>
      <c r="N116" s="38"/>
      <c r="O116" s="37"/>
      <c r="P116" s="38"/>
      <c r="Q116" s="37"/>
      <c r="R116" s="37"/>
      <c r="S116" s="37"/>
    </row>
    <row r="117" spans="1:19" x14ac:dyDescent="0.25">
      <c r="A117" s="37"/>
      <c r="C117" s="37"/>
      <c r="D117" s="38"/>
      <c r="E117" s="37"/>
      <c r="F117" s="38"/>
      <c r="G117" s="37"/>
      <c r="H117" s="38"/>
      <c r="I117" s="37"/>
      <c r="J117" s="38"/>
      <c r="K117" s="37"/>
      <c r="L117" s="38"/>
      <c r="M117" s="37"/>
      <c r="N117" s="38"/>
      <c r="O117" s="37"/>
      <c r="P117" s="38"/>
      <c r="Q117" s="37"/>
      <c r="R117" s="37"/>
      <c r="S117" s="37"/>
    </row>
    <row r="118" spans="1:19" x14ac:dyDescent="0.25">
      <c r="A118" s="37"/>
      <c r="C118" s="37"/>
      <c r="D118" s="38"/>
      <c r="E118" s="37"/>
      <c r="F118" s="38"/>
      <c r="G118" s="37"/>
      <c r="H118" s="38"/>
      <c r="I118" s="37"/>
      <c r="J118" s="38"/>
      <c r="K118" s="37"/>
      <c r="L118" s="38"/>
      <c r="M118" s="37"/>
      <c r="N118" s="38"/>
      <c r="O118" s="37"/>
      <c r="P118" s="38"/>
      <c r="Q118" s="37"/>
      <c r="R118" s="37"/>
      <c r="S118" s="37"/>
    </row>
    <row r="119" spans="1:19" x14ac:dyDescent="0.25">
      <c r="A119" s="37"/>
      <c r="C119" s="37"/>
      <c r="D119" s="38"/>
      <c r="E119" s="37"/>
      <c r="F119" s="38"/>
      <c r="G119" s="37"/>
      <c r="H119" s="38"/>
      <c r="I119" s="37"/>
      <c r="J119" s="38"/>
      <c r="K119" s="37"/>
      <c r="L119" s="38"/>
      <c r="M119" s="37"/>
      <c r="N119" s="38"/>
      <c r="O119" s="37"/>
      <c r="P119" s="38"/>
      <c r="Q119" s="37"/>
      <c r="R119" s="37"/>
      <c r="S119" s="37"/>
    </row>
    <row r="120" spans="1:19" x14ac:dyDescent="0.25">
      <c r="A120" s="37"/>
      <c r="C120" s="37"/>
      <c r="D120" s="38"/>
      <c r="E120" s="37"/>
      <c r="F120" s="38"/>
      <c r="G120" s="37"/>
      <c r="H120" s="38"/>
      <c r="I120" s="37"/>
      <c r="J120" s="38"/>
      <c r="K120" s="37"/>
      <c r="L120" s="38"/>
      <c r="M120" s="37"/>
      <c r="N120" s="38"/>
      <c r="O120" s="37"/>
      <c r="P120" s="38"/>
      <c r="Q120" s="37"/>
      <c r="R120" s="37"/>
      <c r="S120" s="37"/>
    </row>
    <row r="121" spans="1:19" x14ac:dyDescent="0.25">
      <c r="A121" s="37"/>
      <c r="C121" s="37"/>
      <c r="D121" s="38"/>
      <c r="E121" s="37"/>
      <c r="F121" s="38"/>
      <c r="G121" s="37"/>
      <c r="H121" s="38"/>
      <c r="I121" s="37"/>
      <c r="J121" s="38"/>
      <c r="K121" s="37"/>
      <c r="L121" s="38"/>
      <c r="M121" s="37"/>
      <c r="N121" s="38"/>
      <c r="O121" s="37"/>
      <c r="P121" s="38"/>
      <c r="Q121" s="37"/>
      <c r="R121" s="37"/>
      <c r="S121" s="37"/>
    </row>
    <row r="122" spans="1:19" x14ac:dyDescent="0.25">
      <c r="A122" s="37"/>
      <c r="C122" s="37"/>
      <c r="D122" s="38"/>
      <c r="E122" s="37"/>
      <c r="F122" s="38"/>
      <c r="G122" s="37"/>
      <c r="H122" s="38"/>
      <c r="I122" s="37"/>
      <c r="J122" s="38"/>
      <c r="K122" s="37"/>
      <c r="L122" s="38"/>
      <c r="M122" s="37"/>
      <c r="N122" s="38"/>
      <c r="O122" s="37"/>
      <c r="P122" s="38"/>
      <c r="Q122" s="37"/>
      <c r="R122" s="37"/>
      <c r="S122" s="37"/>
    </row>
    <row r="123" spans="1:19" x14ac:dyDescent="0.25">
      <c r="A123" s="37"/>
      <c r="C123" s="37"/>
      <c r="D123" s="38"/>
      <c r="E123" s="37"/>
      <c r="F123" s="38"/>
      <c r="G123" s="37"/>
      <c r="H123" s="38"/>
      <c r="I123" s="37"/>
      <c r="J123" s="38"/>
      <c r="K123" s="37"/>
      <c r="L123" s="38"/>
      <c r="M123" s="37"/>
      <c r="N123" s="38"/>
      <c r="O123" s="37"/>
      <c r="P123" s="38"/>
      <c r="Q123" s="37"/>
      <c r="R123" s="37"/>
      <c r="S123" s="37"/>
    </row>
    <row r="124" spans="1:19" x14ac:dyDescent="0.25">
      <c r="A124" s="37"/>
      <c r="C124" s="37"/>
      <c r="D124" s="38"/>
      <c r="E124" s="37"/>
      <c r="F124" s="38"/>
      <c r="G124" s="37"/>
      <c r="H124" s="38"/>
      <c r="I124" s="37"/>
      <c r="J124" s="38"/>
      <c r="K124" s="37"/>
      <c r="L124" s="38"/>
      <c r="M124" s="37"/>
      <c r="N124" s="38"/>
      <c r="O124" s="37"/>
      <c r="P124" s="38"/>
      <c r="Q124" s="37"/>
      <c r="R124" s="37"/>
      <c r="S124" s="37"/>
    </row>
    <row r="125" spans="1:19" x14ac:dyDescent="0.25">
      <c r="A125" s="37"/>
      <c r="C125" s="37"/>
      <c r="D125" s="38"/>
      <c r="E125" s="37"/>
      <c r="F125" s="38"/>
      <c r="G125" s="37"/>
      <c r="H125" s="38"/>
      <c r="I125" s="37"/>
      <c r="J125" s="38"/>
      <c r="K125" s="37"/>
      <c r="L125" s="38"/>
      <c r="M125" s="37"/>
      <c r="N125" s="38"/>
      <c r="O125" s="37"/>
      <c r="P125" s="38"/>
      <c r="Q125" s="37"/>
      <c r="R125" s="37"/>
      <c r="S125" s="37"/>
    </row>
    <row r="126" spans="1:19" x14ac:dyDescent="0.25">
      <c r="A126" s="37"/>
      <c r="C126" s="37"/>
      <c r="D126" s="38"/>
      <c r="E126" s="37"/>
      <c r="F126" s="38"/>
      <c r="G126" s="37"/>
      <c r="H126" s="38"/>
      <c r="I126" s="37"/>
      <c r="J126" s="38"/>
      <c r="K126" s="37"/>
      <c r="L126" s="38"/>
      <c r="M126" s="37"/>
      <c r="N126" s="38"/>
      <c r="O126" s="37"/>
      <c r="P126" s="38"/>
      <c r="Q126" s="37"/>
      <c r="R126" s="37"/>
      <c r="S126" s="37"/>
    </row>
    <row r="127" spans="1:19" x14ac:dyDescent="0.25">
      <c r="A127" s="37"/>
      <c r="C127" s="37"/>
      <c r="D127" s="38"/>
      <c r="E127" s="37"/>
      <c r="F127" s="38"/>
      <c r="G127" s="37"/>
      <c r="H127" s="38"/>
      <c r="I127" s="37"/>
      <c r="J127" s="38"/>
      <c r="K127" s="37"/>
      <c r="L127" s="38"/>
      <c r="M127" s="37"/>
      <c r="N127" s="38"/>
      <c r="O127" s="37"/>
      <c r="P127" s="38"/>
      <c r="Q127" s="37"/>
      <c r="R127" s="37"/>
      <c r="S127" s="37"/>
    </row>
    <row r="128" spans="1:19" x14ac:dyDescent="0.25">
      <c r="A128" s="37"/>
      <c r="C128" s="37"/>
      <c r="D128" s="38"/>
      <c r="E128" s="37"/>
      <c r="F128" s="38"/>
      <c r="G128" s="37"/>
      <c r="H128" s="38"/>
      <c r="I128" s="37"/>
      <c r="J128" s="38"/>
      <c r="K128" s="37"/>
      <c r="L128" s="38"/>
      <c r="M128" s="37"/>
      <c r="N128" s="38"/>
      <c r="O128" s="37"/>
      <c r="P128" s="38"/>
      <c r="Q128" s="37"/>
      <c r="R128" s="37"/>
      <c r="S128" s="37"/>
    </row>
    <row r="129" spans="1:19" x14ac:dyDescent="0.25">
      <c r="A129" s="37"/>
      <c r="C129" s="37"/>
      <c r="D129" s="38"/>
      <c r="E129" s="37"/>
      <c r="F129" s="38"/>
      <c r="G129" s="37"/>
      <c r="H129" s="38"/>
      <c r="I129" s="37"/>
      <c r="J129" s="38"/>
      <c r="K129" s="37"/>
      <c r="L129" s="38"/>
      <c r="M129" s="37"/>
      <c r="N129" s="38"/>
      <c r="O129" s="37"/>
      <c r="P129" s="38"/>
      <c r="Q129" s="37"/>
      <c r="R129" s="37"/>
      <c r="S129" s="37"/>
    </row>
    <row r="130" spans="1:19" x14ac:dyDescent="0.25">
      <c r="A130" s="37"/>
      <c r="C130" s="37"/>
      <c r="D130" s="38"/>
      <c r="E130" s="37"/>
      <c r="F130" s="38"/>
      <c r="G130" s="37"/>
      <c r="H130" s="38"/>
      <c r="I130" s="37"/>
      <c r="J130" s="38"/>
      <c r="K130" s="37"/>
      <c r="L130" s="38"/>
      <c r="M130" s="37"/>
      <c r="N130" s="38"/>
      <c r="O130" s="37"/>
      <c r="P130" s="38"/>
      <c r="Q130" s="37"/>
      <c r="R130" s="37"/>
      <c r="S130" s="37"/>
    </row>
    <row r="131" spans="1:19" x14ac:dyDescent="0.25">
      <c r="A131" s="37"/>
      <c r="C131" s="37"/>
      <c r="D131" s="38"/>
      <c r="E131" s="37"/>
      <c r="F131" s="38"/>
      <c r="G131" s="37"/>
      <c r="H131" s="38"/>
      <c r="I131" s="37"/>
      <c r="J131" s="38"/>
      <c r="K131" s="37"/>
      <c r="L131" s="38"/>
      <c r="M131" s="37"/>
      <c r="N131" s="38"/>
      <c r="O131" s="37"/>
      <c r="P131" s="38"/>
      <c r="Q131" s="37"/>
      <c r="R131" s="37"/>
      <c r="S131" s="37"/>
    </row>
    <row r="132" spans="1:19" x14ac:dyDescent="0.25">
      <c r="A132" s="37"/>
      <c r="C132" s="37"/>
      <c r="D132" s="38"/>
      <c r="E132" s="37"/>
      <c r="F132" s="38"/>
      <c r="G132" s="37"/>
      <c r="H132" s="38"/>
      <c r="I132" s="37"/>
      <c r="J132" s="38"/>
      <c r="K132" s="37"/>
      <c r="L132" s="38"/>
      <c r="M132" s="37"/>
      <c r="N132" s="38"/>
      <c r="O132" s="37"/>
      <c r="P132" s="38"/>
      <c r="Q132" s="37"/>
      <c r="R132" s="37"/>
      <c r="S132" s="37"/>
    </row>
    <row r="133" spans="1:19" x14ac:dyDescent="0.25">
      <c r="A133" s="37"/>
      <c r="C133" s="37"/>
      <c r="D133" s="38"/>
      <c r="E133" s="37"/>
      <c r="F133" s="38"/>
      <c r="G133" s="37"/>
      <c r="H133" s="38"/>
      <c r="I133" s="37"/>
      <c r="J133" s="38"/>
      <c r="K133" s="37"/>
      <c r="L133" s="38"/>
      <c r="M133" s="37"/>
      <c r="N133" s="38"/>
      <c r="O133" s="37"/>
      <c r="P133" s="38"/>
      <c r="Q133" s="37"/>
      <c r="R133" s="37"/>
      <c r="S133" s="37"/>
    </row>
    <row r="134" spans="1:19" x14ac:dyDescent="0.25">
      <c r="A134" s="37"/>
      <c r="C134" s="37"/>
      <c r="D134" s="38"/>
      <c r="E134" s="37"/>
      <c r="F134" s="38"/>
      <c r="G134" s="37"/>
      <c r="H134" s="38"/>
      <c r="I134" s="37"/>
      <c r="J134" s="38"/>
      <c r="K134" s="37"/>
      <c r="L134" s="38"/>
      <c r="M134" s="37"/>
      <c r="N134" s="38"/>
      <c r="O134" s="37"/>
      <c r="P134" s="38"/>
      <c r="Q134" s="37"/>
      <c r="R134" s="37"/>
      <c r="S134" s="37"/>
    </row>
    <row r="135" spans="1:19" x14ac:dyDescent="0.25">
      <c r="A135" s="37"/>
      <c r="C135" s="37"/>
      <c r="D135" s="38"/>
      <c r="E135" s="37"/>
      <c r="F135" s="38"/>
      <c r="G135" s="37"/>
      <c r="H135" s="38"/>
      <c r="I135" s="37"/>
      <c r="J135" s="38"/>
      <c r="K135" s="37"/>
      <c r="L135" s="38"/>
      <c r="M135" s="37"/>
      <c r="N135" s="38"/>
      <c r="O135" s="37"/>
      <c r="P135" s="38"/>
      <c r="Q135" s="37"/>
      <c r="R135" s="37"/>
      <c r="S135" s="37"/>
    </row>
    <row r="136" spans="1:19" x14ac:dyDescent="0.25">
      <c r="A136" s="37"/>
      <c r="C136" s="37"/>
      <c r="D136" s="38"/>
      <c r="E136" s="37"/>
      <c r="F136" s="38"/>
      <c r="G136" s="37"/>
      <c r="H136" s="38"/>
      <c r="I136" s="37"/>
      <c r="J136" s="38"/>
      <c r="K136" s="37"/>
      <c r="L136" s="38"/>
      <c r="M136" s="37"/>
      <c r="N136" s="38"/>
      <c r="O136" s="37"/>
      <c r="P136" s="38"/>
      <c r="Q136" s="37"/>
      <c r="R136" s="37"/>
      <c r="S136" s="37"/>
    </row>
    <row r="137" spans="1:19" x14ac:dyDescent="0.25">
      <c r="A137" s="37"/>
      <c r="C137" s="37"/>
      <c r="D137" s="38"/>
      <c r="E137" s="37"/>
      <c r="F137" s="38"/>
      <c r="G137" s="37"/>
      <c r="H137" s="38"/>
      <c r="I137" s="37"/>
      <c r="J137" s="38"/>
      <c r="K137" s="37"/>
      <c r="L137" s="38"/>
      <c r="M137" s="37"/>
      <c r="N137" s="38"/>
      <c r="O137" s="37"/>
      <c r="P137" s="38"/>
      <c r="Q137" s="37"/>
      <c r="R137" s="37"/>
      <c r="S137" s="37"/>
    </row>
    <row r="138" spans="1:19" x14ac:dyDescent="0.25">
      <c r="A138" s="37"/>
      <c r="C138" s="37"/>
      <c r="D138" s="38"/>
      <c r="E138" s="37"/>
      <c r="F138" s="38"/>
      <c r="G138" s="37"/>
      <c r="H138" s="38"/>
      <c r="I138" s="37"/>
      <c r="J138" s="38"/>
      <c r="K138" s="37"/>
      <c r="L138" s="38"/>
      <c r="M138" s="37"/>
      <c r="N138" s="38"/>
      <c r="O138" s="37"/>
      <c r="P138" s="38"/>
      <c r="Q138" s="37"/>
      <c r="R138" s="37"/>
      <c r="S138" s="37"/>
    </row>
    <row r="139" spans="1:19" x14ac:dyDescent="0.25">
      <c r="A139" s="37"/>
      <c r="C139" s="37"/>
      <c r="D139" s="38"/>
      <c r="E139" s="37"/>
      <c r="F139" s="38"/>
      <c r="G139" s="37"/>
      <c r="H139" s="38"/>
      <c r="I139" s="37"/>
      <c r="J139" s="38"/>
      <c r="K139" s="37"/>
      <c r="L139" s="38"/>
      <c r="M139" s="37"/>
      <c r="N139" s="38"/>
      <c r="O139" s="37"/>
      <c r="P139" s="38"/>
      <c r="Q139" s="37"/>
      <c r="R139" s="37"/>
      <c r="S139" s="37"/>
    </row>
    <row r="140" spans="1:19" x14ac:dyDescent="0.25">
      <c r="A140" s="37"/>
      <c r="C140" s="37"/>
      <c r="D140" s="38"/>
      <c r="E140" s="37"/>
      <c r="F140" s="38"/>
      <c r="G140" s="37"/>
      <c r="H140" s="38"/>
      <c r="I140" s="37"/>
      <c r="J140" s="38"/>
      <c r="K140" s="37"/>
      <c r="L140" s="38"/>
      <c r="M140" s="37"/>
      <c r="N140" s="38"/>
      <c r="O140" s="37"/>
      <c r="P140" s="38"/>
      <c r="Q140" s="37"/>
      <c r="R140" s="37"/>
      <c r="S140" s="37"/>
    </row>
    <row r="141" spans="1:19" x14ac:dyDescent="0.25">
      <c r="A141" s="37"/>
      <c r="C141" s="37"/>
      <c r="D141" s="38"/>
      <c r="E141" s="37"/>
      <c r="F141" s="38"/>
      <c r="G141" s="37"/>
      <c r="H141" s="38"/>
      <c r="I141" s="37"/>
      <c r="J141" s="38"/>
      <c r="K141" s="37"/>
      <c r="L141" s="38"/>
      <c r="M141" s="37"/>
      <c r="N141" s="38"/>
      <c r="O141" s="37"/>
      <c r="P141" s="38"/>
      <c r="Q141" s="37"/>
      <c r="R141" s="37"/>
      <c r="S141" s="37"/>
    </row>
    <row r="142" spans="1:19" x14ac:dyDescent="0.25">
      <c r="A142" s="37"/>
      <c r="C142" s="37"/>
      <c r="D142" s="38"/>
      <c r="E142" s="37"/>
      <c r="F142" s="38"/>
      <c r="G142" s="37"/>
      <c r="H142" s="38"/>
      <c r="I142" s="37"/>
      <c r="J142" s="38"/>
      <c r="K142" s="37"/>
      <c r="L142" s="38"/>
      <c r="M142" s="37"/>
      <c r="N142" s="38"/>
      <c r="O142" s="37"/>
      <c r="P142" s="38"/>
      <c r="Q142" s="37"/>
      <c r="R142" s="37"/>
      <c r="S142" s="37"/>
    </row>
    <row r="143" spans="1:19" x14ac:dyDescent="0.25">
      <c r="A143" s="37"/>
      <c r="C143" s="37"/>
      <c r="D143" s="38"/>
      <c r="E143" s="37"/>
      <c r="F143" s="38"/>
      <c r="G143" s="37"/>
      <c r="H143" s="38"/>
      <c r="I143" s="37"/>
      <c r="J143" s="38"/>
      <c r="K143" s="37"/>
      <c r="L143" s="38"/>
      <c r="M143" s="37"/>
      <c r="N143" s="38"/>
      <c r="O143" s="37"/>
      <c r="P143" s="38"/>
      <c r="Q143" s="37"/>
      <c r="R143" s="37"/>
      <c r="S143" s="37"/>
    </row>
    <row r="144" spans="1:19" x14ac:dyDescent="0.25">
      <c r="A144" s="37"/>
      <c r="C144" s="37"/>
      <c r="D144" s="38"/>
      <c r="E144" s="37"/>
      <c r="F144" s="38"/>
      <c r="G144" s="37"/>
      <c r="H144" s="38"/>
      <c r="I144" s="37"/>
      <c r="J144" s="38"/>
      <c r="K144" s="37"/>
      <c r="L144" s="38"/>
      <c r="M144" s="37"/>
      <c r="N144" s="38"/>
      <c r="O144" s="37"/>
      <c r="P144" s="38"/>
      <c r="Q144" s="37"/>
      <c r="R144" s="37"/>
      <c r="S144" s="37"/>
    </row>
    <row r="145" spans="1:19" x14ac:dyDescent="0.25">
      <c r="A145" s="37"/>
      <c r="C145" s="37"/>
      <c r="D145" s="38"/>
      <c r="E145" s="37"/>
      <c r="F145" s="38"/>
      <c r="G145" s="37"/>
      <c r="H145" s="38"/>
      <c r="I145" s="37"/>
      <c r="J145" s="38"/>
      <c r="K145" s="37"/>
      <c r="L145" s="38"/>
      <c r="M145" s="37"/>
      <c r="N145" s="38"/>
      <c r="O145" s="37"/>
      <c r="P145" s="38"/>
      <c r="Q145" s="37"/>
      <c r="R145" s="37"/>
      <c r="S145" s="37"/>
    </row>
    <row r="146" spans="1:19" x14ac:dyDescent="0.25">
      <c r="A146" s="37"/>
      <c r="C146" s="37"/>
      <c r="D146" s="38"/>
      <c r="E146" s="37"/>
      <c r="F146" s="38"/>
      <c r="G146" s="37"/>
      <c r="H146" s="38"/>
      <c r="I146" s="37"/>
      <c r="J146" s="38"/>
      <c r="K146" s="37"/>
      <c r="L146" s="38"/>
      <c r="M146" s="37"/>
      <c r="N146" s="38"/>
      <c r="O146" s="37"/>
      <c r="P146" s="38"/>
      <c r="Q146" s="37"/>
      <c r="R146" s="37"/>
      <c r="S146" s="37"/>
    </row>
    <row r="147" spans="1:19" x14ac:dyDescent="0.25">
      <c r="A147" s="37"/>
      <c r="C147" s="37"/>
      <c r="D147" s="38"/>
      <c r="E147" s="37"/>
      <c r="F147" s="38"/>
      <c r="G147" s="37"/>
      <c r="H147" s="38"/>
      <c r="I147" s="37"/>
      <c r="J147" s="38"/>
      <c r="K147" s="37"/>
      <c r="L147" s="38"/>
      <c r="M147" s="37"/>
      <c r="N147" s="38"/>
      <c r="O147" s="37"/>
      <c r="P147" s="38"/>
      <c r="Q147" s="37"/>
      <c r="R147" s="37"/>
      <c r="S147" s="37"/>
    </row>
    <row r="148" spans="1:19" x14ac:dyDescent="0.25">
      <c r="A148" s="37"/>
      <c r="C148" s="37"/>
      <c r="D148" s="38"/>
      <c r="E148" s="37"/>
      <c r="F148" s="38"/>
      <c r="G148" s="37"/>
      <c r="H148" s="38"/>
      <c r="I148" s="37"/>
      <c r="J148" s="38"/>
      <c r="K148" s="37"/>
      <c r="L148" s="38"/>
      <c r="M148" s="37"/>
      <c r="N148" s="38"/>
      <c r="O148" s="37"/>
      <c r="P148" s="38"/>
      <c r="Q148" s="37"/>
      <c r="R148" s="37"/>
      <c r="S148" s="37"/>
    </row>
    <row r="149" spans="1:19" x14ac:dyDescent="0.25">
      <c r="A149" s="37"/>
      <c r="C149" s="37"/>
      <c r="D149" s="38"/>
      <c r="E149" s="37"/>
      <c r="F149" s="38"/>
      <c r="G149" s="37"/>
      <c r="H149" s="38"/>
      <c r="I149" s="37"/>
      <c r="J149" s="38"/>
      <c r="K149" s="37"/>
      <c r="L149" s="38"/>
      <c r="M149" s="37"/>
      <c r="N149" s="38"/>
      <c r="O149" s="37"/>
      <c r="P149" s="38"/>
      <c r="Q149" s="37"/>
      <c r="R149" s="37"/>
      <c r="S149" s="37"/>
    </row>
    <row r="150" spans="1:19" x14ac:dyDescent="0.25">
      <c r="A150" s="37"/>
      <c r="C150" s="37"/>
      <c r="D150" s="38"/>
      <c r="E150" s="37"/>
      <c r="F150" s="38"/>
      <c r="G150" s="37"/>
      <c r="H150" s="38"/>
      <c r="I150" s="37"/>
      <c r="J150" s="38"/>
      <c r="K150" s="37"/>
      <c r="L150" s="38"/>
      <c r="M150" s="37"/>
      <c r="N150" s="38"/>
      <c r="O150" s="37"/>
      <c r="P150" s="38"/>
      <c r="Q150" s="37"/>
      <c r="R150" s="37"/>
      <c r="S150" s="37"/>
    </row>
    <row r="151" spans="1:19" x14ac:dyDescent="0.25">
      <c r="A151" s="37"/>
      <c r="C151" s="37"/>
      <c r="D151" s="38"/>
      <c r="E151" s="37"/>
      <c r="F151" s="38"/>
      <c r="G151" s="37"/>
      <c r="H151" s="38"/>
      <c r="I151" s="37"/>
      <c r="J151" s="38"/>
      <c r="K151" s="37"/>
      <c r="L151" s="38"/>
      <c r="M151" s="37"/>
      <c r="N151" s="38"/>
      <c r="O151" s="37"/>
      <c r="P151" s="38"/>
      <c r="Q151" s="37"/>
      <c r="R151" s="37"/>
      <c r="S151" s="37"/>
    </row>
    <row r="152" spans="1:19" x14ac:dyDescent="0.25">
      <c r="A152" s="37"/>
      <c r="C152" s="37"/>
      <c r="D152" s="38"/>
      <c r="E152" s="37"/>
      <c r="F152" s="38"/>
      <c r="G152" s="37"/>
      <c r="H152" s="38"/>
      <c r="I152" s="37"/>
      <c r="J152" s="38"/>
      <c r="K152" s="37"/>
      <c r="L152" s="38"/>
      <c r="M152" s="37"/>
      <c r="N152" s="38"/>
      <c r="O152" s="37"/>
      <c r="P152" s="38"/>
      <c r="Q152" s="37"/>
      <c r="R152" s="37"/>
      <c r="S152" s="37"/>
    </row>
    <row r="153" spans="1:19" x14ac:dyDescent="0.25">
      <c r="A153" s="37"/>
      <c r="C153" s="37"/>
      <c r="D153" s="38"/>
      <c r="E153" s="37"/>
      <c r="F153" s="38"/>
      <c r="G153" s="37"/>
      <c r="H153" s="38"/>
      <c r="I153" s="37"/>
      <c r="J153" s="38"/>
      <c r="K153" s="37"/>
      <c r="L153" s="38"/>
      <c r="M153" s="37"/>
      <c r="N153" s="38"/>
      <c r="O153" s="37"/>
      <c r="P153" s="38"/>
      <c r="Q153" s="37"/>
      <c r="R153" s="37"/>
      <c r="S153" s="37"/>
    </row>
    <row r="154" spans="1:19" x14ac:dyDescent="0.25">
      <c r="A154" s="37"/>
      <c r="C154" s="37"/>
      <c r="D154" s="38"/>
      <c r="E154" s="37"/>
      <c r="F154" s="38"/>
      <c r="G154" s="37"/>
      <c r="H154" s="38"/>
      <c r="I154" s="37"/>
      <c r="J154" s="38"/>
      <c r="K154" s="37"/>
      <c r="L154" s="38"/>
      <c r="M154" s="37"/>
      <c r="N154" s="38"/>
      <c r="O154" s="37"/>
      <c r="P154" s="38"/>
      <c r="Q154" s="37"/>
      <c r="R154" s="37"/>
      <c r="S154" s="37"/>
    </row>
    <row r="155" spans="1:19" x14ac:dyDescent="0.25">
      <c r="A155" s="37"/>
      <c r="C155" s="37"/>
      <c r="D155" s="38"/>
      <c r="E155" s="37"/>
      <c r="F155" s="38"/>
      <c r="G155" s="37"/>
      <c r="H155" s="38"/>
      <c r="I155" s="37"/>
      <c r="J155" s="38"/>
      <c r="K155" s="37"/>
      <c r="L155" s="38"/>
      <c r="M155" s="37"/>
      <c r="N155" s="38"/>
      <c r="O155" s="37"/>
      <c r="P155" s="38"/>
      <c r="Q155" s="37"/>
      <c r="R155" s="37"/>
      <c r="S155" s="37"/>
    </row>
    <row r="156" spans="1:19" x14ac:dyDescent="0.25">
      <c r="A156" s="37"/>
      <c r="C156" s="37"/>
      <c r="D156" s="38"/>
      <c r="E156" s="37"/>
      <c r="F156" s="38"/>
      <c r="G156" s="37"/>
      <c r="H156" s="38"/>
      <c r="I156" s="37"/>
      <c r="J156" s="38"/>
      <c r="K156" s="37"/>
      <c r="L156" s="38"/>
      <c r="M156" s="37"/>
      <c r="N156" s="38"/>
      <c r="O156" s="37"/>
      <c r="P156" s="38"/>
      <c r="Q156" s="37"/>
      <c r="R156" s="37"/>
      <c r="S156" s="37"/>
    </row>
    <row r="157" spans="1:19" x14ac:dyDescent="0.25">
      <c r="A157" s="37"/>
      <c r="C157" s="37"/>
      <c r="D157" s="38"/>
      <c r="E157" s="37"/>
      <c r="F157" s="38"/>
      <c r="G157" s="37"/>
      <c r="H157" s="38"/>
      <c r="I157" s="37"/>
      <c r="J157" s="38"/>
      <c r="K157" s="37"/>
      <c r="L157" s="38"/>
      <c r="M157" s="37"/>
      <c r="N157" s="38"/>
      <c r="O157" s="37"/>
      <c r="P157" s="38"/>
      <c r="Q157" s="37"/>
      <c r="R157" s="37"/>
      <c r="S157" s="37"/>
    </row>
    <row r="158" spans="1:19" x14ac:dyDescent="0.25">
      <c r="A158" s="37"/>
      <c r="C158" s="37"/>
      <c r="D158" s="38"/>
      <c r="E158" s="37"/>
      <c r="F158" s="38"/>
      <c r="G158" s="37"/>
      <c r="H158" s="38"/>
      <c r="I158" s="37"/>
      <c r="J158" s="38"/>
      <c r="K158" s="37"/>
      <c r="L158" s="38"/>
      <c r="M158" s="37"/>
      <c r="N158" s="38"/>
      <c r="O158" s="37"/>
      <c r="P158" s="38"/>
      <c r="Q158" s="37"/>
      <c r="R158" s="37"/>
      <c r="S158" s="37"/>
    </row>
    <row r="159" spans="1:19" x14ac:dyDescent="0.25">
      <c r="A159" s="37"/>
      <c r="C159" s="37"/>
      <c r="D159" s="38"/>
      <c r="E159" s="37"/>
      <c r="F159" s="38"/>
      <c r="G159" s="37"/>
      <c r="H159" s="38"/>
      <c r="I159" s="37"/>
      <c r="J159" s="38"/>
      <c r="K159" s="37"/>
      <c r="L159" s="38"/>
      <c r="M159" s="37"/>
      <c r="N159" s="38"/>
      <c r="O159" s="37"/>
      <c r="P159" s="38"/>
      <c r="Q159" s="37"/>
      <c r="R159" s="37"/>
      <c r="S159" s="37"/>
    </row>
    <row r="160" spans="1:19" x14ac:dyDescent="0.25">
      <c r="A160" s="37"/>
      <c r="C160" s="37"/>
      <c r="D160" s="38"/>
      <c r="E160" s="37"/>
      <c r="F160" s="38"/>
      <c r="G160" s="37"/>
      <c r="H160" s="38"/>
      <c r="I160" s="37"/>
      <c r="J160" s="38"/>
      <c r="K160" s="37"/>
      <c r="L160" s="38"/>
      <c r="M160" s="37"/>
      <c r="N160" s="38"/>
      <c r="O160" s="37"/>
      <c r="P160" s="38"/>
      <c r="Q160" s="37"/>
      <c r="R160" s="37"/>
      <c r="S160" s="37"/>
    </row>
    <row r="161" spans="1:19" x14ac:dyDescent="0.25">
      <c r="A161" s="37"/>
      <c r="C161" s="37"/>
      <c r="D161" s="38"/>
      <c r="E161" s="37"/>
      <c r="F161" s="38"/>
      <c r="G161" s="37"/>
      <c r="H161" s="38"/>
      <c r="I161" s="37"/>
      <c r="J161" s="38"/>
      <c r="K161" s="37"/>
      <c r="L161" s="38"/>
      <c r="M161" s="37"/>
      <c r="N161" s="38"/>
      <c r="O161" s="37"/>
      <c r="P161" s="38"/>
      <c r="Q161" s="37"/>
      <c r="R161" s="37"/>
      <c r="S161" s="37"/>
    </row>
    <row r="162" spans="1:19" x14ac:dyDescent="0.25">
      <c r="A162" s="37"/>
      <c r="C162" s="37"/>
      <c r="D162" s="38"/>
      <c r="E162" s="37"/>
      <c r="F162" s="38"/>
      <c r="G162" s="37"/>
      <c r="H162" s="38"/>
      <c r="I162" s="37"/>
      <c r="J162" s="38"/>
      <c r="K162" s="37"/>
      <c r="L162" s="38"/>
      <c r="M162" s="37"/>
      <c r="N162" s="38"/>
      <c r="O162" s="37"/>
      <c r="P162" s="38"/>
      <c r="Q162" s="37"/>
      <c r="R162" s="37"/>
      <c r="S162" s="37"/>
    </row>
    <row r="163" spans="1:19" x14ac:dyDescent="0.25">
      <c r="A163" s="37"/>
      <c r="C163" s="37"/>
      <c r="D163" s="38"/>
      <c r="E163" s="37"/>
      <c r="F163" s="38"/>
      <c r="G163" s="37"/>
      <c r="H163" s="38"/>
      <c r="I163" s="37"/>
      <c r="J163" s="38"/>
      <c r="K163" s="37"/>
      <c r="L163" s="38"/>
      <c r="M163" s="37"/>
      <c r="N163" s="38"/>
      <c r="O163" s="37"/>
      <c r="P163" s="38"/>
      <c r="Q163" s="37"/>
      <c r="R163" s="37"/>
      <c r="S163" s="37"/>
    </row>
    <row r="164" spans="1:19" x14ac:dyDescent="0.25">
      <c r="A164" s="37"/>
      <c r="C164" s="37"/>
      <c r="D164" s="38"/>
      <c r="E164" s="37"/>
      <c r="F164" s="38"/>
      <c r="G164" s="37"/>
      <c r="H164" s="38"/>
      <c r="I164" s="37"/>
      <c r="J164" s="38"/>
      <c r="K164" s="37"/>
      <c r="L164" s="38"/>
      <c r="M164" s="37"/>
      <c r="N164" s="38"/>
      <c r="O164" s="37"/>
      <c r="P164" s="38"/>
      <c r="Q164" s="37"/>
      <c r="R164" s="37"/>
      <c r="S164" s="37"/>
    </row>
    <row r="165" spans="1:19" x14ac:dyDescent="0.25">
      <c r="A165" s="37"/>
      <c r="C165" s="37"/>
      <c r="D165" s="38"/>
      <c r="E165" s="37"/>
      <c r="F165" s="38"/>
      <c r="G165" s="37"/>
      <c r="H165" s="38"/>
      <c r="I165" s="37"/>
      <c r="J165" s="38"/>
      <c r="K165" s="37"/>
      <c r="L165" s="38"/>
      <c r="M165" s="37"/>
      <c r="N165" s="38"/>
      <c r="O165" s="37"/>
      <c r="P165" s="38"/>
      <c r="Q165" s="37"/>
      <c r="R165" s="37"/>
      <c r="S165" s="37"/>
    </row>
    <row r="166" spans="1:19" x14ac:dyDescent="0.25">
      <c r="A166" s="37"/>
      <c r="C166" s="37"/>
      <c r="D166" s="38"/>
      <c r="E166" s="37"/>
      <c r="F166" s="38"/>
      <c r="G166" s="37"/>
      <c r="H166" s="38"/>
      <c r="I166" s="37"/>
      <c r="J166" s="38"/>
      <c r="K166" s="37"/>
      <c r="L166" s="38"/>
      <c r="M166" s="37"/>
      <c r="N166" s="38"/>
      <c r="O166" s="37"/>
      <c r="P166" s="38"/>
      <c r="Q166" s="37"/>
      <c r="R166" s="37"/>
      <c r="S166" s="37"/>
    </row>
    <row r="167" spans="1:19" x14ac:dyDescent="0.25">
      <c r="A167" s="37"/>
      <c r="C167" s="37"/>
      <c r="D167" s="38"/>
      <c r="E167" s="37"/>
      <c r="F167" s="38"/>
      <c r="G167" s="37"/>
      <c r="H167" s="38"/>
      <c r="I167" s="37"/>
      <c r="J167" s="38"/>
      <c r="K167" s="37"/>
      <c r="L167" s="38"/>
      <c r="M167" s="37"/>
      <c r="N167" s="38"/>
      <c r="O167" s="37"/>
      <c r="P167" s="38"/>
      <c r="Q167" s="37"/>
      <c r="R167" s="37"/>
      <c r="S167" s="37"/>
    </row>
    <row r="168" spans="1:19" x14ac:dyDescent="0.25">
      <c r="A168" s="37"/>
      <c r="C168" s="37"/>
      <c r="D168" s="38"/>
      <c r="E168" s="37"/>
      <c r="F168" s="38"/>
      <c r="G168" s="37"/>
      <c r="H168" s="38"/>
      <c r="I168" s="37"/>
      <c r="J168" s="38"/>
      <c r="K168" s="37"/>
      <c r="L168" s="38"/>
      <c r="M168" s="37"/>
      <c r="N168" s="38"/>
      <c r="O168" s="37"/>
      <c r="P168" s="38"/>
      <c r="Q168" s="37"/>
      <c r="R168" s="37"/>
      <c r="S168" s="37"/>
    </row>
    <row r="169" spans="1:19" x14ac:dyDescent="0.25">
      <c r="A169" s="37"/>
      <c r="C169" s="37"/>
      <c r="D169" s="38"/>
      <c r="E169" s="37"/>
      <c r="F169" s="38"/>
      <c r="G169" s="37"/>
      <c r="H169" s="38"/>
      <c r="I169" s="37"/>
      <c r="J169" s="38"/>
      <c r="K169" s="37"/>
      <c r="L169" s="38"/>
      <c r="M169" s="37"/>
      <c r="N169" s="38"/>
      <c r="O169" s="37"/>
      <c r="P169" s="38"/>
      <c r="Q169" s="37"/>
      <c r="R169" s="37"/>
      <c r="S169" s="37"/>
    </row>
    <row r="170" spans="1:19" x14ac:dyDescent="0.25">
      <c r="A170" s="37"/>
      <c r="C170" s="37"/>
      <c r="D170" s="38"/>
      <c r="E170" s="37"/>
      <c r="F170" s="38"/>
      <c r="G170" s="37"/>
      <c r="H170" s="38"/>
      <c r="I170" s="37"/>
      <c r="J170" s="38"/>
      <c r="K170" s="37"/>
      <c r="L170" s="38"/>
      <c r="M170" s="37"/>
      <c r="N170" s="38"/>
      <c r="O170" s="37"/>
      <c r="P170" s="38"/>
      <c r="Q170" s="37"/>
      <c r="R170" s="37"/>
      <c r="S170" s="37"/>
    </row>
    <row r="171" spans="1:19" x14ac:dyDescent="0.25">
      <c r="A171" s="37"/>
      <c r="C171" s="37"/>
      <c r="D171" s="38"/>
      <c r="E171" s="37"/>
      <c r="F171" s="38"/>
      <c r="G171" s="37"/>
      <c r="H171" s="38"/>
      <c r="I171" s="37"/>
      <c r="J171" s="38"/>
      <c r="K171" s="37"/>
      <c r="L171" s="38"/>
      <c r="M171" s="37"/>
      <c r="N171" s="38"/>
      <c r="O171" s="37"/>
      <c r="P171" s="38"/>
      <c r="Q171" s="37"/>
      <c r="R171" s="37"/>
      <c r="S171" s="37"/>
    </row>
    <row r="172" spans="1:19" x14ac:dyDescent="0.25">
      <c r="A172" s="37"/>
      <c r="C172" s="37"/>
      <c r="D172" s="38"/>
      <c r="E172" s="37"/>
      <c r="F172" s="38"/>
      <c r="G172" s="37"/>
      <c r="H172" s="38"/>
      <c r="I172" s="37"/>
      <c r="J172" s="38"/>
      <c r="K172" s="37"/>
      <c r="L172" s="38"/>
      <c r="M172" s="37"/>
      <c r="N172" s="38"/>
      <c r="O172" s="37"/>
      <c r="P172" s="38"/>
      <c r="Q172" s="37"/>
      <c r="R172" s="37"/>
      <c r="S172" s="37"/>
    </row>
    <row r="173" spans="1:19" x14ac:dyDescent="0.25">
      <c r="A173" s="37"/>
      <c r="C173" s="37"/>
      <c r="D173" s="38"/>
      <c r="E173" s="37"/>
      <c r="F173" s="38"/>
      <c r="G173" s="37"/>
      <c r="H173" s="38"/>
      <c r="I173" s="37"/>
      <c r="J173" s="38"/>
      <c r="K173" s="37"/>
      <c r="L173" s="38"/>
      <c r="M173" s="37"/>
      <c r="N173" s="38"/>
      <c r="O173" s="37"/>
      <c r="P173" s="38"/>
      <c r="Q173" s="37"/>
      <c r="R173" s="37"/>
      <c r="S173" s="37"/>
    </row>
    <row r="174" spans="1:19" x14ac:dyDescent="0.25">
      <c r="A174" s="37"/>
      <c r="C174" s="37"/>
      <c r="D174" s="38"/>
      <c r="E174" s="37"/>
      <c r="F174" s="38"/>
      <c r="G174" s="37"/>
      <c r="H174" s="38"/>
      <c r="I174" s="37"/>
      <c r="J174" s="38"/>
      <c r="K174" s="37"/>
      <c r="L174" s="38"/>
      <c r="M174" s="37"/>
      <c r="N174" s="38"/>
      <c r="O174" s="37"/>
      <c r="P174" s="38"/>
      <c r="Q174" s="37"/>
      <c r="R174" s="37"/>
      <c r="S174" s="37"/>
    </row>
    <row r="175" spans="1:19" x14ac:dyDescent="0.25">
      <c r="A175" s="37"/>
      <c r="C175" s="37"/>
      <c r="D175" s="38"/>
      <c r="E175" s="37"/>
      <c r="F175" s="38"/>
      <c r="G175" s="37"/>
      <c r="H175" s="38"/>
      <c r="I175" s="37"/>
      <c r="J175" s="38"/>
      <c r="K175" s="37"/>
      <c r="L175" s="38"/>
      <c r="M175" s="37"/>
      <c r="N175" s="38"/>
      <c r="O175" s="37"/>
      <c r="P175" s="38"/>
      <c r="Q175" s="37"/>
      <c r="R175" s="37"/>
      <c r="S175" s="37"/>
    </row>
    <row r="176" spans="1:19" x14ac:dyDescent="0.25">
      <c r="A176" s="37"/>
      <c r="C176" s="37"/>
      <c r="D176" s="38"/>
      <c r="E176" s="37"/>
      <c r="F176" s="38"/>
      <c r="G176" s="37"/>
      <c r="H176" s="38"/>
      <c r="I176" s="37"/>
      <c r="J176" s="38"/>
      <c r="K176" s="37"/>
      <c r="L176" s="38"/>
      <c r="M176" s="37"/>
      <c r="N176" s="38"/>
      <c r="O176" s="37"/>
      <c r="P176" s="38"/>
      <c r="Q176" s="37"/>
      <c r="R176" s="37"/>
      <c r="S176" s="37"/>
    </row>
    <row r="177" spans="1:19" x14ac:dyDescent="0.25">
      <c r="A177" s="37"/>
      <c r="C177" s="37"/>
      <c r="D177" s="38"/>
      <c r="E177" s="37"/>
      <c r="F177" s="38"/>
      <c r="G177" s="37"/>
      <c r="H177" s="38"/>
      <c r="I177" s="37"/>
      <c r="J177" s="38"/>
      <c r="K177" s="37"/>
      <c r="L177" s="38"/>
      <c r="M177" s="37"/>
      <c r="N177" s="38"/>
      <c r="O177" s="37"/>
      <c r="P177" s="38"/>
      <c r="Q177" s="37"/>
      <c r="R177" s="37"/>
      <c r="S177" s="37"/>
    </row>
    <row r="178" spans="1:19" x14ac:dyDescent="0.25">
      <c r="A178" s="37"/>
      <c r="C178" s="37"/>
      <c r="D178" s="38"/>
      <c r="E178" s="37"/>
      <c r="F178" s="38"/>
      <c r="G178" s="37"/>
      <c r="H178" s="38"/>
      <c r="I178" s="37"/>
      <c r="J178" s="38"/>
      <c r="K178" s="37"/>
      <c r="L178" s="38"/>
      <c r="M178" s="37"/>
      <c r="N178" s="38"/>
      <c r="O178" s="37"/>
      <c r="P178" s="38"/>
      <c r="Q178" s="37"/>
      <c r="R178" s="37"/>
      <c r="S178" s="37"/>
    </row>
    <row r="179" spans="1:19" x14ac:dyDescent="0.25">
      <c r="A179" s="37"/>
      <c r="C179" s="37"/>
      <c r="D179" s="38"/>
      <c r="E179" s="37"/>
      <c r="F179" s="38"/>
      <c r="G179" s="37"/>
      <c r="H179" s="38"/>
      <c r="I179" s="37"/>
      <c r="J179" s="38"/>
      <c r="K179" s="37"/>
      <c r="L179" s="38"/>
      <c r="M179" s="37"/>
      <c r="N179" s="38"/>
      <c r="O179" s="37"/>
      <c r="P179" s="38"/>
      <c r="Q179" s="37"/>
      <c r="R179" s="37"/>
      <c r="S179" s="37"/>
    </row>
    <row r="180" spans="1:19" x14ac:dyDescent="0.25">
      <c r="A180" s="37"/>
      <c r="C180" s="37"/>
      <c r="D180" s="38"/>
      <c r="E180" s="37"/>
      <c r="F180" s="38"/>
      <c r="G180" s="37"/>
      <c r="H180" s="38"/>
      <c r="I180" s="37"/>
      <c r="J180" s="38"/>
      <c r="K180" s="37"/>
      <c r="L180" s="38"/>
      <c r="M180" s="37"/>
      <c r="N180" s="38"/>
      <c r="O180" s="37"/>
      <c r="P180" s="38"/>
      <c r="Q180" s="37"/>
      <c r="R180" s="37"/>
      <c r="S180" s="37"/>
    </row>
    <row r="181" spans="1:19" x14ac:dyDescent="0.25">
      <c r="A181" s="37"/>
      <c r="C181" s="37"/>
      <c r="D181" s="38"/>
      <c r="E181" s="37"/>
      <c r="F181" s="38"/>
      <c r="G181" s="37"/>
      <c r="H181" s="38"/>
      <c r="I181" s="37"/>
      <c r="J181" s="38"/>
      <c r="K181" s="37"/>
      <c r="L181" s="38"/>
      <c r="M181" s="37"/>
      <c r="N181" s="38"/>
      <c r="O181" s="37"/>
      <c r="P181" s="38"/>
      <c r="Q181" s="37"/>
      <c r="R181" s="37"/>
      <c r="S181" s="37"/>
    </row>
    <row r="182" spans="1:19" x14ac:dyDescent="0.25">
      <c r="A182" s="37"/>
      <c r="C182" s="37"/>
      <c r="D182" s="38"/>
      <c r="E182" s="37"/>
      <c r="F182" s="38"/>
      <c r="G182" s="37"/>
      <c r="H182" s="38"/>
      <c r="I182" s="37"/>
      <c r="J182" s="38"/>
      <c r="K182" s="37"/>
      <c r="L182" s="38"/>
      <c r="M182" s="37"/>
      <c r="N182" s="38"/>
      <c r="O182" s="37"/>
      <c r="P182" s="38"/>
      <c r="Q182" s="37"/>
      <c r="R182" s="37"/>
      <c r="S182" s="37"/>
    </row>
    <row r="183" spans="1:19" x14ac:dyDescent="0.25">
      <c r="A183" s="37"/>
      <c r="C183" s="37"/>
      <c r="D183" s="38"/>
      <c r="E183" s="37"/>
      <c r="F183" s="38"/>
      <c r="G183" s="37"/>
      <c r="H183" s="38"/>
      <c r="I183" s="37"/>
      <c r="J183" s="38"/>
      <c r="K183" s="37"/>
      <c r="L183" s="38"/>
      <c r="M183" s="37"/>
      <c r="N183" s="38"/>
      <c r="O183" s="37"/>
      <c r="P183" s="38"/>
      <c r="Q183" s="37"/>
      <c r="R183" s="37"/>
      <c r="S183" s="37"/>
    </row>
    <row r="184" spans="1:19" x14ac:dyDescent="0.25">
      <c r="A184" s="37"/>
      <c r="C184" s="37"/>
      <c r="D184" s="38"/>
      <c r="E184" s="37"/>
      <c r="F184" s="38"/>
      <c r="G184" s="37"/>
      <c r="H184" s="38"/>
      <c r="I184" s="37"/>
      <c r="J184" s="38"/>
      <c r="K184" s="37"/>
      <c r="L184" s="38"/>
      <c r="M184" s="37"/>
      <c r="N184" s="38"/>
      <c r="O184" s="37"/>
      <c r="P184" s="38"/>
      <c r="Q184" s="37"/>
      <c r="R184" s="37"/>
      <c r="S184" s="37"/>
    </row>
    <row r="185" spans="1:19" x14ac:dyDescent="0.25">
      <c r="A185" s="37"/>
      <c r="C185" s="37"/>
      <c r="D185" s="38"/>
      <c r="E185" s="37"/>
      <c r="F185" s="38"/>
      <c r="G185" s="37"/>
      <c r="H185" s="38"/>
      <c r="I185" s="37"/>
      <c r="J185" s="38"/>
      <c r="K185" s="37"/>
      <c r="L185" s="38"/>
      <c r="M185" s="37"/>
      <c r="N185" s="38"/>
      <c r="O185" s="37"/>
      <c r="P185" s="38"/>
      <c r="Q185" s="37"/>
      <c r="R185" s="37"/>
      <c r="S185" s="37"/>
    </row>
    <row r="186" spans="1:19" x14ac:dyDescent="0.25">
      <c r="A186" s="37"/>
      <c r="C186" s="37"/>
      <c r="D186" s="38"/>
      <c r="E186" s="37"/>
      <c r="F186" s="38"/>
      <c r="G186" s="37"/>
      <c r="H186" s="38"/>
      <c r="I186" s="37"/>
      <c r="J186" s="38"/>
      <c r="K186" s="37"/>
      <c r="L186" s="38"/>
      <c r="M186" s="37"/>
      <c r="N186" s="38"/>
      <c r="O186" s="37"/>
      <c r="P186" s="38"/>
      <c r="Q186" s="37"/>
      <c r="R186" s="37"/>
      <c r="S186" s="37"/>
    </row>
    <row r="187" spans="1:19" x14ac:dyDescent="0.25">
      <c r="A187" s="37"/>
      <c r="C187" s="37"/>
      <c r="D187" s="38"/>
      <c r="E187" s="37"/>
      <c r="F187" s="38"/>
      <c r="G187" s="37"/>
      <c r="H187" s="38"/>
      <c r="I187" s="37"/>
      <c r="J187" s="38"/>
      <c r="K187" s="37"/>
      <c r="L187" s="38"/>
      <c r="M187" s="37"/>
      <c r="N187" s="38"/>
      <c r="O187" s="37"/>
      <c r="P187" s="38"/>
      <c r="Q187" s="37"/>
      <c r="R187" s="37"/>
      <c r="S187" s="37"/>
    </row>
    <row r="188" spans="1:19" x14ac:dyDescent="0.25">
      <c r="A188" s="37"/>
      <c r="C188" s="37"/>
      <c r="D188" s="38"/>
      <c r="E188" s="37"/>
      <c r="F188" s="38"/>
      <c r="G188" s="37"/>
      <c r="H188" s="38"/>
      <c r="I188" s="37"/>
      <c r="J188" s="38"/>
      <c r="K188" s="37"/>
      <c r="L188" s="38"/>
      <c r="M188" s="37"/>
      <c r="N188" s="38"/>
      <c r="O188" s="37"/>
      <c r="P188" s="38"/>
      <c r="Q188" s="37"/>
      <c r="R188" s="37"/>
      <c r="S188" s="37"/>
    </row>
    <row r="189" spans="1:19" x14ac:dyDescent="0.25">
      <c r="A189" s="37"/>
      <c r="C189" s="37"/>
      <c r="D189" s="38"/>
      <c r="E189" s="37"/>
      <c r="F189" s="38"/>
      <c r="G189" s="37"/>
      <c r="H189" s="38"/>
      <c r="I189" s="37"/>
      <c r="J189" s="38"/>
      <c r="K189" s="37"/>
      <c r="L189" s="38"/>
      <c r="M189" s="37"/>
      <c r="N189" s="38"/>
      <c r="O189" s="37"/>
      <c r="P189" s="38"/>
      <c r="Q189" s="37"/>
      <c r="R189" s="37"/>
      <c r="S189" s="37"/>
    </row>
    <row r="190" spans="1:19" x14ac:dyDescent="0.25">
      <c r="A190" s="37"/>
      <c r="C190" s="37"/>
      <c r="D190" s="38"/>
      <c r="E190" s="37"/>
      <c r="F190" s="38"/>
      <c r="G190" s="37"/>
      <c r="H190" s="38"/>
      <c r="I190" s="37"/>
      <c r="J190" s="38"/>
      <c r="K190" s="37"/>
      <c r="L190" s="38"/>
      <c r="M190" s="37"/>
      <c r="N190" s="38"/>
      <c r="O190" s="37"/>
      <c r="P190" s="38"/>
      <c r="Q190" s="37"/>
      <c r="R190" s="37"/>
      <c r="S190" s="37"/>
    </row>
    <row r="191" spans="1:19" x14ac:dyDescent="0.25">
      <c r="A191" s="37"/>
      <c r="C191" s="37"/>
      <c r="D191" s="38"/>
      <c r="E191" s="37"/>
      <c r="F191" s="38"/>
      <c r="G191" s="37"/>
      <c r="H191" s="38"/>
      <c r="I191" s="37"/>
      <c r="J191" s="38"/>
      <c r="K191" s="37"/>
      <c r="L191" s="38"/>
      <c r="M191" s="37"/>
      <c r="N191" s="38"/>
      <c r="O191" s="37"/>
      <c r="P191" s="38"/>
      <c r="Q191" s="37"/>
      <c r="R191" s="37"/>
      <c r="S191" s="37"/>
    </row>
    <row r="192" spans="1:19" x14ac:dyDescent="0.25">
      <c r="A192" s="37"/>
      <c r="C192" s="37"/>
      <c r="D192" s="38"/>
      <c r="E192" s="37"/>
      <c r="F192" s="38"/>
      <c r="G192" s="37"/>
      <c r="H192" s="38"/>
      <c r="I192" s="37"/>
      <c r="J192" s="38"/>
      <c r="K192" s="37"/>
      <c r="L192" s="38"/>
      <c r="M192" s="37"/>
      <c r="N192" s="38"/>
      <c r="O192" s="37"/>
      <c r="P192" s="38"/>
      <c r="Q192" s="37"/>
      <c r="R192" s="37"/>
      <c r="S192" s="37"/>
    </row>
    <row r="193" spans="1:19" x14ac:dyDescent="0.25">
      <c r="A193" s="37"/>
      <c r="C193" s="37"/>
      <c r="D193" s="38"/>
      <c r="E193" s="37"/>
      <c r="F193" s="38"/>
      <c r="G193" s="37"/>
      <c r="H193" s="38"/>
      <c r="I193" s="37"/>
      <c r="J193" s="38"/>
      <c r="K193" s="37"/>
      <c r="L193" s="38"/>
      <c r="M193" s="37"/>
      <c r="N193" s="38"/>
      <c r="O193" s="37"/>
      <c r="P193" s="38"/>
      <c r="Q193" s="37"/>
      <c r="R193" s="37"/>
      <c r="S193" s="37"/>
    </row>
    <row r="194" spans="1:19" x14ac:dyDescent="0.25">
      <c r="A194" s="37"/>
      <c r="C194" s="37"/>
      <c r="D194" s="38"/>
      <c r="E194" s="37"/>
      <c r="F194" s="38"/>
      <c r="G194" s="37"/>
      <c r="H194" s="38"/>
      <c r="I194" s="37"/>
      <c r="J194" s="38"/>
      <c r="K194" s="37"/>
      <c r="L194" s="38"/>
      <c r="M194" s="37"/>
      <c r="N194" s="38"/>
      <c r="O194" s="37"/>
      <c r="P194" s="38"/>
      <c r="Q194" s="37"/>
      <c r="R194" s="37"/>
      <c r="S194" s="37"/>
    </row>
    <row r="195" spans="1:19" x14ac:dyDescent="0.25">
      <c r="A195" s="37"/>
      <c r="C195" s="37"/>
      <c r="D195" s="38"/>
      <c r="E195" s="37"/>
      <c r="F195" s="38"/>
      <c r="G195" s="37"/>
      <c r="H195" s="38"/>
      <c r="I195" s="37"/>
      <c r="J195" s="38"/>
      <c r="K195" s="37"/>
      <c r="L195" s="38"/>
      <c r="M195" s="37"/>
      <c r="N195" s="38"/>
      <c r="O195" s="37"/>
      <c r="P195" s="38"/>
      <c r="Q195" s="37"/>
      <c r="R195" s="37"/>
      <c r="S195" s="37"/>
    </row>
    <row r="196" spans="1:19" x14ac:dyDescent="0.25">
      <c r="A196" s="37"/>
      <c r="C196" s="37"/>
      <c r="D196" s="38"/>
      <c r="E196" s="37"/>
      <c r="F196" s="38"/>
      <c r="G196" s="37"/>
      <c r="H196" s="38"/>
      <c r="I196" s="37"/>
      <c r="J196" s="38"/>
      <c r="K196" s="37"/>
      <c r="L196" s="38"/>
      <c r="M196" s="37"/>
      <c r="N196" s="38"/>
      <c r="O196" s="37"/>
      <c r="P196" s="38"/>
      <c r="Q196" s="37"/>
      <c r="R196" s="37"/>
      <c r="S196" s="37"/>
    </row>
    <row r="197" spans="1:19" x14ac:dyDescent="0.25">
      <c r="A197" s="37"/>
      <c r="C197" s="37"/>
      <c r="D197" s="38"/>
      <c r="E197" s="37"/>
      <c r="F197" s="38"/>
      <c r="G197" s="37"/>
      <c r="H197" s="38"/>
      <c r="I197" s="37"/>
      <c r="J197" s="38"/>
      <c r="K197" s="37"/>
      <c r="L197" s="38"/>
      <c r="M197" s="37"/>
      <c r="N197" s="38"/>
      <c r="O197" s="37"/>
      <c r="P197" s="38"/>
      <c r="Q197" s="37"/>
      <c r="R197" s="37"/>
      <c r="S197" s="37"/>
    </row>
    <row r="198" spans="1:19" x14ac:dyDescent="0.25">
      <c r="A198" s="37"/>
      <c r="C198" s="37"/>
      <c r="D198" s="38"/>
      <c r="E198" s="37"/>
      <c r="F198" s="38"/>
      <c r="G198" s="37"/>
      <c r="H198" s="38"/>
      <c r="I198" s="37"/>
      <c r="J198" s="38"/>
      <c r="K198" s="37"/>
      <c r="L198" s="38"/>
      <c r="M198" s="37"/>
      <c r="N198" s="38"/>
      <c r="O198" s="37"/>
      <c r="P198" s="38"/>
      <c r="Q198" s="37"/>
      <c r="R198" s="37"/>
      <c r="S198" s="37"/>
    </row>
    <row r="199" spans="1:19" x14ac:dyDescent="0.25">
      <c r="A199" s="37"/>
      <c r="C199" s="37"/>
      <c r="D199" s="38"/>
      <c r="E199" s="37"/>
      <c r="F199" s="38"/>
      <c r="G199" s="37"/>
      <c r="H199" s="38"/>
      <c r="I199" s="37"/>
      <c r="J199" s="38"/>
      <c r="K199" s="37"/>
      <c r="L199" s="38"/>
      <c r="M199" s="37"/>
      <c r="N199" s="38"/>
      <c r="O199" s="37"/>
      <c r="P199" s="38"/>
      <c r="Q199" s="37"/>
      <c r="R199" s="37"/>
      <c r="S199" s="37"/>
    </row>
    <row r="200" spans="1:19" x14ac:dyDescent="0.25">
      <c r="A200" s="37"/>
      <c r="C200" s="37"/>
      <c r="D200" s="38"/>
      <c r="E200" s="37"/>
      <c r="F200" s="38"/>
      <c r="G200" s="37"/>
      <c r="H200" s="38"/>
      <c r="I200" s="37"/>
      <c r="J200" s="38"/>
      <c r="K200" s="37"/>
      <c r="L200" s="38"/>
      <c r="M200" s="37"/>
      <c r="N200" s="38"/>
      <c r="O200" s="37"/>
      <c r="P200" s="38"/>
      <c r="Q200" s="37"/>
      <c r="R200" s="37"/>
      <c r="S200" s="37"/>
    </row>
    <row r="201" spans="1:19" x14ac:dyDescent="0.25">
      <c r="A201" s="37"/>
      <c r="C201" s="37"/>
      <c r="D201" s="38"/>
      <c r="E201" s="37"/>
      <c r="F201" s="38"/>
      <c r="G201" s="37"/>
      <c r="H201" s="38"/>
      <c r="I201" s="37"/>
      <c r="J201" s="38"/>
      <c r="K201" s="37"/>
      <c r="L201" s="38"/>
      <c r="M201" s="37"/>
      <c r="N201" s="38"/>
      <c r="O201" s="37"/>
      <c r="P201" s="38"/>
      <c r="Q201" s="37"/>
      <c r="R201" s="37"/>
      <c r="S201" s="37"/>
    </row>
    <row r="202" spans="1:19" x14ac:dyDescent="0.25">
      <c r="A202" s="37"/>
      <c r="C202" s="37"/>
      <c r="D202" s="38"/>
      <c r="E202" s="37"/>
      <c r="F202" s="38"/>
      <c r="G202" s="37"/>
      <c r="H202" s="38"/>
      <c r="I202" s="37"/>
      <c r="J202" s="38"/>
      <c r="K202" s="37"/>
      <c r="L202" s="38"/>
      <c r="M202" s="37"/>
      <c r="N202" s="38"/>
      <c r="O202" s="37"/>
      <c r="P202" s="38"/>
      <c r="Q202" s="37"/>
      <c r="R202" s="37"/>
      <c r="S202" s="37"/>
    </row>
    <row r="203" spans="1:19" x14ac:dyDescent="0.25">
      <c r="A203" s="37"/>
      <c r="C203" s="37"/>
      <c r="D203" s="38"/>
      <c r="E203" s="37"/>
      <c r="F203" s="38"/>
      <c r="G203" s="37"/>
      <c r="H203" s="38"/>
      <c r="I203" s="37"/>
      <c r="J203" s="38"/>
      <c r="K203" s="37"/>
      <c r="L203" s="38"/>
      <c r="M203" s="37"/>
      <c r="N203" s="38"/>
      <c r="O203" s="37"/>
      <c r="P203" s="38"/>
      <c r="Q203" s="37"/>
      <c r="R203" s="37"/>
      <c r="S203" s="37"/>
    </row>
    <row r="204" spans="1:19" x14ac:dyDescent="0.25">
      <c r="A204" s="37"/>
      <c r="C204" s="37"/>
      <c r="D204" s="38"/>
      <c r="E204" s="37"/>
      <c r="F204" s="38"/>
      <c r="G204" s="37"/>
      <c r="H204" s="38"/>
      <c r="I204" s="37"/>
      <c r="J204" s="38"/>
      <c r="K204" s="37"/>
      <c r="L204" s="38"/>
      <c r="M204" s="37"/>
      <c r="N204" s="38"/>
      <c r="O204" s="37"/>
      <c r="P204" s="38"/>
      <c r="Q204" s="37"/>
      <c r="R204" s="37"/>
      <c r="S204" s="37"/>
    </row>
    <row r="205" spans="1:19" x14ac:dyDescent="0.25">
      <c r="A205" s="37"/>
      <c r="C205" s="37"/>
      <c r="D205" s="38"/>
      <c r="E205" s="37"/>
      <c r="F205" s="38"/>
      <c r="G205" s="37"/>
      <c r="H205" s="38"/>
      <c r="I205" s="37"/>
      <c r="J205" s="38"/>
      <c r="K205" s="37"/>
      <c r="L205" s="38"/>
      <c r="M205" s="37"/>
      <c r="N205" s="38"/>
      <c r="O205" s="37"/>
      <c r="P205" s="38"/>
      <c r="Q205" s="37"/>
      <c r="R205" s="37"/>
      <c r="S205" s="37"/>
    </row>
    <row r="206" spans="1:19" x14ac:dyDescent="0.25">
      <c r="A206" s="37"/>
      <c r="C206" s="37"/>
      <c r="D206" s="38"/>
      <c r="E206" s="37"/>
      <c r="F206" s="38"/>
      <c r="G206" s="37"/>
      <c r="H206" s="38"/>
      <c r="I206" s="37"/>
      <c r="J206" s="38"/>
      <c r="K206" s="37"/>
      <c r="L206" s="38"/>
      <c r="M206" s="37"/>
      <c r="N206" s="38"/>
      <c r="O206" s="37"/>
      <c r="P206" s="38"/>
      <c r="Q206" s="37"/>
      <c r="R206" s="37"/>
      <c r="S206" s="37"/>
    </row>
    <row r="207" spans="1:19" x14ac:dyDescent="0.25">
      <c r="A207" s="37"/>
      <c r="C207" s="37"/>
      <c r="D207" s="38"/>
      <c r="E207" s="37"/>
      <c r="F207" s="38"/>
      <c r="G207" s="37"/>
      <c r="H207" s="38"/>
      <c r="I207" s="37"/>
      <c r="J207" s="38"/>
      <c r="K207" s="37"/>
      <c r="L207" s="38"/>
      <c r="M207" s="37"/>
      <c r="N207" s="38"/>
      <c r="O207" s="37"/>
      <c r="P207" s="38"/>
      <c r="Q207" s="37"/>
      <c r="R207" s="37"/>
      <c r="S207" s="37"/>
    </row>
    <row r="208" spans="1:19" x14ac:dyDescent="0.25">
      <c r="A208" s="37"/>
      <c r="C208" s="37"/>
      <c r="D208" s="38"/>
      <c r="E208" s="37"/>
      <c r="F208" s="38"/>
      <c r="G208" s="37"/>
      <c r="H208" s="38"/>
      <c r="I208" s="37"/>
      <c r="J208" s="38"/>
      <c r="K208" s="37"/>
      <c r="L208" s="38"/>
      <c r="M208" s="37"/>
      <c r="N208" s="38"/>
      <c r="O208" s="37"/>
      <c r="P208" s="38"/>
      <c r="Q208" s="37"/>
      <c r="R208" s="37"/>
      <c r="S208" s="37"/>
    </row>
    <row r="209" spans="1:19" x14ac:dyDescent="0.25">
      <c r="A209" s="37"/>
      <c r="C209" s="37"/>
      <c r="D209" s="38"/>
      <c r="E209" s="37"/>
      <c r="F209" s="38"/>
      <c r="G209" s="37"/>
      <c r="H209" s="38"/>
      <c r="I209" s="37"/>
      <c r="J209" s="38"/>
      <c r="K209" s="37"/>
      <c r="L209" s="38"/>
      <c r="M209" s="37"/>
      <c r="N209" s="38"/>
      <c r="O209" s="37"/>
      <c r="P209" s="38"/>
      <c r="Q209" s="37"/>
      <c r="R209" s="37"/>
      <c r="S209" s="37"/>
    </row>
    <row r="210" spans="1:19" x14ac:dyDescent="0.25">
      <c r="A210" s="37"/>
      <c r="C210" s="37"/>
      <c r="D210" s="38"/>
      <c r="E210" s="37"/>
      <c r="F210" s="38"/>
      <c r="G210" s="37"/>
      <c r="H210" s="38"/>
      <c r="I210" s="37"/>
      <c r="J210" s="38"/>
      <c r="K210" s="37"/>
      <c r="L210" s="38"/>
      <c r="M210" s="37"/>
      <c r="N210" s="38"/>
      <c r="O210" s="37"/>
      <c r="P210" s="38"/>
      <c r="Q210" s="37"/>
      <c r="R210" s="37"/>
      <c r="S210" s="37"/>
    </row>
    <row r="211" spans="1:19" x14ac:dyDescent="0.25">
      <c r="A211" s="37"/>
      <c r="C211" s="37"/>
      <c r="D211" s="38"/>
      <c r="E211" s="37"/>
      <c r="F211" s="38"/>
      <c r="G211" s="37"/>
      <c r="H211" s="38"/>
      <c r="I211" s="37"/>
      <c r="J211" s="38"/>
      <c r="K211" s="37"/>
      <c r="L211" s="38"/>
      <c r="M211" s="37"/>
      <c r="N211" s="38"/>
      <c r="O211" s="37"/>
      <c r="P211" s="38"/>
      <c r="Q211" s="37"/>
      <c r="R211" s="37"/>
      <c r="S211" s="37"/>
    </row>
    <row r="212" spans="1:19" x14ac:dyDescent="0.25">
      <c r="A212" s="37"/>
      <c r="C212" s="37"/>
      <c r="D212" s="38"/>
      <c r="E212" s="37"/>
      <c r="F212" s="38"/>
      <c r="G212" s="37"/>
      <c r="H212" s="38"/>
      <c r="I212" s="37"/>
      <c r="J212" s="38"/>
      <c r="K212" s="37"/>
      <c r="L212" s="38"/>
      <c r="M212" s="37"/>
      <c r="N212" s="38"/>
      <c r="O212" s="37"/>
      <c r="P212" s="38"/>
      <c r="Q212" s="37"/>
      <c r="R212" s="37"/>
      <c r="S212" s="37"/>
    </row>
    <row r="213" spans="1:19" x14ac:dyDescent="0.25">
      <c r="A213" s="37"/>
      <c r="C213" s="37"/>
      <c r="D213" s="38"/>
      <c r="E213" s="37"/>
      <c r="F213" s="38"/>
      <c r="G213" s="37"/>
      <c r="H213" s="38"/>
      <c r="I213" s="37"/>
      <c r="J213" s="38"/>
      <c r="K213" s="37"/>
      <c r="L213" s="38"/>
      <c r="M213" s="37"/>
      <c r="N213" s="38"/>
      <c r="O213" s="37"/>
      <c r="P213" s="38"/>
      <c r="Q213" s="37"/>
      <c r="R213" s="37"/>
      <c r="S213" s="37"/>
    </row>
    <row r="214" spans="1:19" x14ac:dyDescent="0.25">
      <c r="A214" s="37"/>
      <c r="C214" s="37"/>
      <c r="D214" s="38"/>
      <c r="E214" s="37"/>
      <c r="F214" s="38"/>
      <c r="G214" s="37"/>
      <c r="H214" s="38"/>
      <c r="I214" s="37"/>
      <c r="J214" s="38"/>
      <c r="K214" s="37"/>
      <c r="L214" s="38"/>
      <c r="M214" s="37"/>
      <c r="N214" s="38"/>
      <c r="O214" s="37"/>
      <c r="P214" s="38"/>
      <c r="Q214" s="37"/>
      <c r="R214" s="37"/>
      <c r="S214" s="37"/>
    </row>
    <row r="215" spans="1:19" x14ac:dyDescent="0.25">
      <c r="A215" s="37"/>
      <c r="C215" s="37"/>
      <c r="D215" s="38"/>
      <c r="E215" s="37"/>
      <c r="F215" s="38"/>
      <c r="G215" s="37"/>
      <c r="H215" s="38"/>
      <c r="I215" s="37"/>
      <c r="J215" s="38"/>
      <c r="K215" s="37"/>
      <c r="L215" s="38"/>
      <c r="M215" s="37"/>
      <c r="N215" s="38"/>
      <c r="O215" s="37"/>
      <c r="P215" s="38"/>
      <c r="Q215" s="37"/>
      <c r="R215" s="37"/>
      <c r="S215" s="37"/>
    </row>
    <row r="216" spans="1:19" x14ac:dyDescent="0.25">
      <c r="A216" s="37"/>
      <c r="C216" s="37"/>
      <c r="D216" s="38"/>
      <c r="E216" s="37"/>
      <c r="F216" s="38"/>
      <c r="G216" s="37"/>
      <c r="H216" s="38"/>
      <c r="I216" s="37"/>
      <c r="J216" s="38"/>
      <c r="K216" s="37"/>
      <c r="L216" s="38"/>
      <c r="M216" s="37"/>
      <c r="N216" s="38"/>
      <c r="O216" s="37"/>
      <c r="P216" s="38"/>
      <c r="Q216" s="37"/>
      <c r="R216" s="37"/>
      <c r="S216" s="37"/>
    </row>
    <row r="217" spans="1:19" x14ac:dyDescent="0.25">
      <c r="A217" s="37"/>
      <c r="C217" s="37"/>
      <c r="D217" s="38"/>
      <c r="E217" s="37"/>
      <c r="F217" s="38"/>
      <c r="G217" s="37"/>
      <c r="H217" s="38"/>
      <c r="I217" s="37"/>
      <c r="J217" s="38"/>
      <c r="K217" s="37"/>
      <c r="L217" s="38"/>
      <c r="M217" s="37"/>
      <c r="N217" s="38"/>
      <c r="O217" s="37"/>
      <c r="P217" s="38"/>
      <c r="Q217" s="37"/>
      <c r="R217" s="37"/>
      <c r="S217" s="37"/>
    </row>
    <row r="218" spans="1:19" x14ac:dyDescent="0.25">
      <c r="A218" s="37"/>
      <c r="C218" s="37"/>
      <c r="D218" s="38"/>
      <c r="E218" s="37"/>
      <c r="F218" s="38"/>
      <c r="G218" s="37"/>
      <c r="H218" s="38"/>
      <c r="I218" s="37"/>
      <c r="J218" s="38"/>
      <c r="K218" s="37"/>
      <c r="L218" s="38"/>
      <c r="M218" s="37"/>
      <c r="N218" s="38"/>
      <c r="O218" s="37"/>
      <c r="P218" s="38"/>
      <c r="Q218" s="37"/>
      <c r="R218" s="37"/>
      <c r="S218" s="37"/>
    </row>
    <row r="219" spans="1:19" x14ac:dyDescent="0.25">
      <c r="A219" s="37"/>
      <c r="C219" s="37"/>
      <c r="D219" s="38"/>
      <c r="E219" s="37"/>
      <c r="F219" s="38"/>
      <c r="G219" s="37"/>
      <c r="H219" s="38"/>
      <c r="I219" s="37"/>
      <c r="J219" s="38"/>
      <c r="K219" s="37"/>
      <c r="L219" s="38"/>
      <c r="M219" s="37"/>
      <c r="N219" s="38"/>
      <c r="O219" s="37"/>
      <c r="P219" s="38"/>
      <c r="Q219" s="37"/>
      <c r="R219" s="37"/>
      <c r="S219" s="37"/>
    </row>
    <row r="220" spans="1:19" x14ac:dyDescent="0.25">
      <c r="A220" s="37"/>
      <c r="C220" s="37"/>
      <c r="D220" s="38"/>
      <c r="E220" s="37"/>
      <c r="F220" s="38"/>
      <c r="G220" s="37"/>
      <c r="H220" s="38"/>
      <c r="I220" s="37"/>
      <c r="J220" s="38"/>
      <c r="K220" s="37"/>
      <c r="L220" s="38"/>
      <c r="M220" s="37"/>
      <c r="N220" s="38"/>
      <c r="O220" s="37"/>
      <c r="P220" s="38"/>
      <c r="Q220" s="37"/>
      <c r="R220" s="37"/>
      <c r="S220" s="37"/>
    </row>
    <row r="221" spans="1:19" x14ac:dyDescent="0.25">
      <c r="A221" s="37"/>
      <c r="C221" s="37"/>
      <c r="D221" s="38"/>
      <c r="E221" s="37"/>
      <c r="F221" s="38"/>
      <c r="G221" s="37"/>
      <c r="H221" s="38"/>
      <c r="I221" s="37"/>
      <c r="J221" s="38"/>
      <c r="K221" s="37"/>
      <c r="L221" s="38"/>
      <c r="M221" s="37"/>
      <c r="N221" s="38"/>
      <c r="O221" s="37"/>
      <c r="P221" s="38"/>
      <c r="Q221" s="37"/>
      <c r="R221" s="37"/>
      <c r="S221" s="37"/>
    </row>
    <row r="222" spans="1:19" x14ac:dyDescent="0.25">
      <c r="A222" s="37"/>
      <c r="C222" s="37"/>
      <c r="D222" s="38"/>
      <c r="E222" s="37"/>
      <c r="F222" s="38"/>
      <c r="G222" s="37"/>
      <c r="H222" s="38"/>
      <c r="I222" s="37"/>
      <c r="J222" s="38"/>
      <c r="K222" s="37"/>
      <c r="L222" s="38"/>
      <c r="M222" s="37"/>
      <c r="N222" s="38"/>
      <c r="O222" s="37"/>
      <c r="P222" s="38"/>
      <c r="Q222" s="37"/>
      <c r="R222" s="37"/>
      <c r="S222" s="37"/>
    </row>
    <row r="223" spans="1:19" x14ac:dyDescent="0.25">
      <c r="A223" s="37"/>
      <c r="C223" s="37"/>
      <c r="D223" s="38"/>
      <c r="E223" s="37"/>
      <c r="F223" s="38"/>
      <c r="G223" s="37"/>
      <c r="H223" s="38"/>
      <c r="I223" s="37"/>
      <c r="J223" s="38"/>
      <c r="K223" s="37"/>
      <c r="L223" s="38"/>
      <c r="M223" s="37"/>
      <c r="N223" s="38"/>
      <c r="O223" s="37"/>
      <c r="P223" s="38"/>
      <c r="Q223" s="37"/>
      <c r="R223" s="37"/>
      <c r="S223" s="37"/>
    </row>
    <row r="224" spans="1:19" x14ac:dyDescent="0.25">
      <c r="A224" s="37"/>
      <c r="C224" s="37"/>
      <c r="D224" s="38"/>
      <c r="E224" s="37"/>
      <c r="F224" s="38"/>
      <c r="G224" s="37"/>
      <c r="H224" s="38"/>
      <c r="I224" s="37"/>
      <c r="J224" s="38"/>
      <c r="K224" s="37"/>
      <c r="L224" s="38"/>
      <c r="M224" s="37"/>
      <c r="N224" s="38"/>
      <c r="O224" s="37"/>
      <c r="P224" s="38"/>
      <c r="Q224" s="37"/>
      <c r="R224" s="37"/>
      <c r="S224" s="37"/>
    </row>
    <row r="225" spans="1:19" x14ac:dyDescent="0.25">
      <c r="A225" s="37"/>
      <c r="C225" s="37"/>
      <c r="D225" s="38"/>
      <c r="E225" s="37"/>
      <c r="F225" s="38"/>
      <c r="G225" s="37"/>
      <c r="H225" s="38"/>
      <c r="I225" s="37"/>
      <c r="J225" s="38"/>
      <c r="K225" s="37"/>
      <c r="L225" s="38"/>
      <c r="M225" s="37"/>
      <c r="N225" s="38"/>
      <c r="O225" s="37"/>
      <c r="P225" s="38"/>
      <c r="Q225" s="37"/>
      <c r="R225" s="37"/>
      <c r="S225" s="37"/>
    </row>
    <row r="226" spans="1:19" x14ac:dyDescent="0.25">
      <c r="A226" s="37"/>
      <c r="C226" s="37"/>
      <c r="D226" s="38"/>
      <c r="E226" s="37"/>
      <c r="F226" s="38"/>
      <c r="G226" s="37"/>
      <c r="H226" s="38"/>
      <c r="I226" s="37"/>
      <c r="J226" s="38"/>
      <c r="K226" s="37"/>
      <c r="L226" s="38"/>
      <c r="M226" s="37"/>
      <c r="N226" s="38"/>
      <c r="O226" s="37"/>
      <c r="P226" s="38"/>
      <c r="Q226" s="37"/>
      <c r="R226" s="37"/>
      <c r="S226" s="37"/>
    </row>
    <row r="227" spans="1:19" x14ac:dyDescent="0.25">
      <c r="A227" s="37"/>
      <c r="C227" s="37"/>
      <c r="D227" s="38"/>
      <c r="E227" s="37"/>
      <c r="F227" s="38"/>
      <c r="G227" s="37"/>
      <c r="H227" s="38"/>
      <c r="I227" s="37"/>
      <c r="J227" s="38"/>
      <c r="K227" s="37"/>
      <c r="L227" s="38"/>
      <c r="M227" s="37"/>
      <c r="N227" s="38"/>
      <c r="O227" s="37"/>
      <c r="P227" s="38"/>
      <c r="Q227" s="37"/>
      <c r="R227" s="37"/>
      <c r="S227" s="37"/>
    </row>
    <row r="228" spans="1:19" x14ac:dyDescent="0.25">
      <c r="A228" s="37"/>
      <c r="C228" s="37"/>
      <c r="D228" s="38"/>
      <c r="E228" s="37"/>
      <c r="F228" s="38"/>
      <c r="G228" s="37"/>
      <c r="H228" s="38"/>
      <c r="I228" s="37"/>
      <c r="J228" s="38"/>
      <c r="K228" s="37"/>
      <c r="L228" s="38"/>
      <c r="M228" s="37"/>
      <c r="N228" s="38"/>
      <c r="O228" s="37"/>
      <c r="P228" s="38"/>
      <c r="Q228" s="37"/>
      <c r="R228" s="37"/>
      <c r="S228" s="37"/>
    </row>
    <row r="229" spans="1:19" x14ac:dyDescent="0.25">
      <c r="A229" s="37"/>
      <c r="C229" s="37"/>
      <c r="D229" s="38"/>
      <c r="E229" s="37"/>
      <c r="F229" s="38"/>
      <c r="G229" s="37"/>
      <c r="H229" s="38"/>
      <c r="I229" s="37"/>
      <c r="J229" s="38"/>
      <c r="K229" s="37"/>
      <c r="L229" s="38"/>
      <c r="M229" s="37"/>
      <c r="N229" s="38"/>
      <c r="O229" s="37"/>
      <c r="P229" s="38"/>
      <c r="Q229" s="37"/>
      <c r="R229" s="37"/>
      <c r="S229" s="37"/>
    </row>
    <row r="230" spans="1:19" x14ac:dyDescent="0.25">
      <c r="A230" s="37"/>
      <c r="C230" s="37"/>
      <c r="D230" s="38"/>
      <c r="E230" s="37"/>
      <c r="F230" s="38"/>
      <c r="G230" s="37"/>
      <c r="H230" s="38"/>
      <c r="I230" s="37"/>
      <c r="J230" s="38"/>
      <c r="K230" s="37"/>
      <c r="L230" s="38"/>
      <c r="M230" s="37"/>
      <c r="N230" s="38"/>
      <c r="O230" s="37"/>
      <c r="P230" s="38"/>
      <c r="Q230" s="37"/>
      <c r="R230" s="37"/>
      <c r="S230" s="37"/>
    </row>
    <row r="231" spans="1:19" x14ac:dyDescent="0.25">
      <c r="A231" s="37"/>
      <c r="C231" s="37"/>
      <c r="D231" s="38"/>
      <c r="E231" s="37"/>
      <c r="F231" s="38"/>
      <c r="G231" s="37"/>
      <c r="H231" s="38"/>
      <c r="I231" s="37"/>
      <c r="J231" s="38"/>
      <c r="K231" s="37"/>
      <c r="L231" s="38"/>
      <c r="M231" s="37"/>
      <c r="N231" s="38"/>
      <c r="O231" s="37"/>
      <c r="P231" s="38"/>
      <c r="Q231" s="37"/>
      <c r="R231" s="37"/>
      <c r="S231" s="37"/>
    </row>
    <row r="232" spans="1:19" x14ac:dyDescent="0.25">
      <c r="A232" s="37"/>
      <c r="C232" s="37"/>
      <c r="D232" s="38"/>
      <c r="E232" s="37"/>
      <c r="F232" s="38"/>
      <c r="G232" s="37"/>
      <c r="H232" s="38"/>
      <c r="I232" s="37"/>
      <c r="J232" s="38"/>
      <c r="K232" s="37"/>
      <c r="L232" s="38"/>
      <c r="M232" s="37"/>
      <c r="N232" s="38"/>
      <c r="O232" s="37"/>
      <c r="P232" s="38"/>
      <c r="Q232" s="37"/>
      <c r="R232" s="37"/>
      <c r="S232" s="37"/>
    </row>
    <row r="233" spans="1:19" x14ac:dyDescent="0.25">
      <c r="A233" s="37"/>
      <c r="C233" s="37"/>
      <c r="D233" s="38"/>
      <c r="E233" s="37"/>
      <c r="F233" s="38"/>
      <c r="G233" s="37"/>
      <c r="H233" s="38"/>
      <c r="I233" s="37"/>
      <c r="J233" s="38"/>
      <c r="K233" s="37"/>
      <c r="L233" s="38"/>
      <c r="M233" s="37"/>
      <c r="N233" s="38"/>
      <c r="O233" s="37"/>
      <c r="P233" s="38"/>
      <c r="Q233" s="37"/>
      <c r="R233" s="37"/>
      <c r="S233" s="37"/>
    </row>
    <row r="234" spans="1:19" x14ac:dyDescent="0.25">
      <c r="A234" s="37"/>
      <c r="C234" s="37"/>
      <c r="D234" s="38"/>
      <c r="E234" s="37"/>
      <c r="F234" s="38"/>
      <c r="G234" s="37"/>
      <c r="H234" s="38"/>
      <c r="I234" s="37"/>
      <c r="J234" s="38"/>
      <c r="K234" s="37"/>
      <c r="L234" s="38"/>
      <c r="M234" s="37"/>
      <c r="N234" s="38"/>
      <c r="O234" s="37"/>
      <c r="P234" s="38"/>
      <c r="Q234" s="37"/>
      <c r="R234" s="37"/>
      <c r="S234" s="37"/>
    </row>
    <row r="235" spans="1:19" x14ac:dyDescent="0.25">
      <c r="A235" s="37"/>
      <c r="C235" s="37"/>
      <c r="D235" s="38"/>
      <c r="E235" s="37"/>
      <c r="F235" s="38"/>
      <c r="G235" s="37"/>
      <c r="H235" s="38"/>
      <c r="I235" s="37"/>
      <c r="J235" s="38"/>
      <c r="K235" s="37"/>
      <c r="L235" s="38"/>
      <c r="M235" s="37"/>
      <c r="N235" s="38"/>
      <c r="O235" s="37"/>
      <c r="P235" s="38"/>
      <c r="Q235" s="37"/>
      <c r="R235" s="37"/>
      <c r="S235" s="37"/>
    </row>
    <row r="236" spans="1:19" x14ac:dyDescent="0.25">
      <c r="A236" s="37"/>
      <c r="C236" s="37"/>
      <c r="D236" s="38"/>
      <c r="E236" s="37"/>
      <c r="F236" s="38"/>
      <c r="G236" s="37"/>
      <c r="H236" s="38"/>
      <c r="I236" s="37"/>
      <c r="J236" s="38"/>
      <c r="K236" s="37"/>
      <c r="L236" s="38"/>
      <c r="M236" s="37"/>
      <c r="N236" s="38"/>
      <c r="O236" s="37"/>
      <c r="P236" s="38"/>
      <c r="Q236" s="37"/>
      <c r="R236" s="37"/>
      <c r="S236" s="37"/>
    </row>
    <row r="237" spans="1:19" x14ac:dyDescent="0.25">
      <c r="A237" s="37"/>
      <c r="C237" s="37"/>
      <c r="D237" s="38"/>
      <c r="E237" s="37"/>
      <c r="F237" s="38"/>
      <c r="G237" s="37"/>
      <c r="H237" s="38"/>
      <c r="I237" s="37"/>
      <c r="J237" s="38"/>
      <c r="K237" s="37"/>
      <c r="L237" s="38"/>
      <c r="M237" s="37"/>
      <c r="N237" s="38"/>
      <c r="O237" s="37"/>
      <c r="P237" s="38"/>
      <c r="Q237" s="37"/>
      <c r="R237" s="37"/>
      <c r="S237" s="37"/>
    </row>
    <row r="238" spans="1:19" x14ac:dyDescent="0.25">
      <c r="A238" s="37"/>
      <c r="C238" s="37"/>
      <c r="D238" s="38"/>
      <c r="E238" s="37"/>
      <c r="F238" s="38"/>
      <c r="G238" s="37"/>
      <c r="H238" s="38"/>
      <c r="I238" s="37"/>
      <c r="J238" s="38"/>
      <c r="K238" s="37"/>
      <c r="L238" s="38"/>
      <c r="M238" s="37"/>
      <c r="N238" s="38"/>
      <c r="O238" s="37"/>
      <c r="P238" s="38"/>
      <c r="Q238" s="37"/>
      <c r="R238" s="37"/>
      <c r="S238" s="37"/>
    </row>
    <row r="239" spans="1:19" x14ac:dyDescent="0.25">
      <c r="A239" s="37"/>
      <c r="C239" s="37"/>
      <c r="D239" s="38"/>
      <c r="E239" s="37"/>
      <c r="F239" s="38"/>
      <c r="G239" s="37"/>
      <c r="H239" s="38"/>
      <c r="I239" s="37"/>
      <c r="J239" s="38"/>
      <c r="K239" s="37"/>
      <c r="L239" s="38"/>
      <c r="M239" s="37"/>
      <c r="N239" s="38"/>
      <c r="O239" s="37"/>
      <c r="P239" s="38"/>
      <c r="Q239" s="37"/>
      <c r="R239" s="37"/>
      <c r="S239" s="37"/>
    </row>
    <row r="240" spans="1:19" x14ac:dyDescent="0.25">
      <c r="A240" s="37"/>
      <c r="C240" s="37"/>
      <c r="D240" s="38"/>
      <c r="E240" s="37"/>
      <c r="F240" s="38"/>
      <c r="G240" s="37"/>
      <c r="H240" s="38"/>
      <c r="I240" s="37"/>
      <c r="J240" s="38"/>
      <c r="K240" s="37"/>
      <c r="L240" s="38"/>
      <c r="M240" s="37"/>
      <c r="N240" s="38"/>
      <c r="O240" s="37"/>
      <c r="P240" s="38"/>
      <c r="Q240" s="37"/>
      <c r="R240" s="37"/>
      <c r="S240" s="37"/>
    </row>
    <row r="241" spans="1:19" x14ac:dyDescent="0.25">
      <c r="A241" s="37"/>
      <c r="C241" s="37"/>
      <c r="D241" s="38"/>
      <c r="E241" s="37"/>
      <c r="F241" s="38"/>
      <c r="G241" s="37"/>
      <c r="H241" s="38"/>
      <c r="I241" s="37"/>
      <c r="J241" s="38"/>
      <c r="K241" s="37"/>
      <c r="L241" s="38"/>
      <c r="M241" s="37"/>
      <c r="N241" s="38"/>
      <c r="O241" s="37"/>
      <c r="P241" s="38"/>
      <c r="Q241" s="37"/>
      <c r="R241" s="37"/>
      <c r="S241" s="37"/>
    </row>
    <row r="242" spans="1:19" x14ac:dyDescent="0.25">
      <c r="A242" s="37"/>
      <c r="C242" s="37"/>
      <c r="D242" s="38"/>
      <c r="E242" s="37"/>
      <c r="F242" s="38"/>
      <c r="G242" s="37"/>
      <c r="H242" s="38"/>
      <c r="I242" s="37"/>
      <c r="J242" s="38"/>
      <c r="K242" s="37"/>
      <c r="L242" s="38"/>
      <c r="M242" s="37"/>
      <c r="N242" s="38"/>
      <c r="O242" s="37"/>
      <c r="P242" s="38"/>
      <c r="Q242" s="37"/>
      <c r="R242" s="37"/>
      <c r="S242" s="37"/>
    </row>
    <row r="243" spans="1:19" x14ac:dyDescent="0.25">
      <c r="A243" s="37"/>
      <c r="C243" s="37"/>
      <c r="D243" s="38"/>
      <c r="E243" s="37"/>
      <c r="F243" s="38"/>
      <c r="G243" s="37"/>
      <c r="H243" s="38"/>
      <c r="I243" s="37"/>
      <c r="J243" s="38"/>
      <c r="K243" s="37"/>
      <c r="L243" s="38"/>
      <c r="M243" s="37"/>
      <c r="N243" s="38"/>
      <c r="O243" s="37"/>
      <c r="P243" s="38"/>
      <c r="Q243" s="37"/>
      <c r="R243" s="37"/>
      <c r="S243" s="37"/>
    </row>
    <row r="244" spans="1:19" x14ac:dyDescent="0.25">
      <c r="A244" s="37"/>
      <c r="C244" s="37"/>
      <c r="D244" s="38"/>
      <c r="E244" s="37"/>
      <c r="F244" s="38"/>
      <c r="G244" s="37"/>
      <c r="H244" s="38"/>
      <c r="I244" s="37"/>
      <c r="J244" s="38"/>
      <c r="K244" s="37"/>
      <c r="L244" s="38"/>
      <c r="M244" s="37"/>
      <c r="N244" s="38"/>
      <c r="O244" s="37"/>
      <c r="P244" s="38"/>
      <c r="Q244" s="37"/>
      <c r="R244" s="37"/>
      <c r="S244" s="37"/>
    </row>
    <row r="245" spans="1:19" x14ac:dyDescent="0.25">
      <c r="A245" s="37"/>
      <c r="C245" s="37"/>
      <c r="D245" s="38"/>
      <c r="E245" s="37"/>
      <c r="F245" s="38"/>
      <c r="G245" s="37"/>
      <c r="H245" s="38"/>
      <c r="I245" s="37"/>
      <c r="J245" s="38"/>
      <c r="K245" s="37"/>
      <c r="L245" s="38"/>
      <c r="M245" s="37"/>
      <c r="N245" s="38"/>
      <c r="O245" s="37"/>
      <c r="P245" s="38"/>
      <c r="Q245" s="37"/>
      <c r="R245" s="37"/>
      <c r="S245" s="37"/>
    </row>
    <row r="246" spans="1:19" x14ac:dyDescent="0.25">
      <c r="A246" s="37"/>
      <c r="C246" s="37"/>
      <c r="D246" s="38"/>
      <c r="E246" s="37"/>
      <c r="F246" s="38"/>
      <c r="G246" s="37"/>
      <c r="H246" s="38"/>
      <c r="I246" s="37"/>
      <c r="J246" s="38"/>
      <c r="K246" s="37"/>
      <c r="L246" s="38"/>
      <c r="M246" s="37"/>
      <c r="N246" s="38"/>
      <c r="O246" s="37"/>
      <c r="P246" s="38"/>
      <c r="Q246" s="37"/>
      <c r="R246" s="37"/>
      <c r="S246" s="37"/>
    </row>
    <row r="247" spans="1:19" x14ac:dyDescent="0.25">
      <c r="A247" s="37"/>
      <c r="C247" s="37"/>
      <c r="D247" s="38"/>
      <c r="E247" s="37"/>
      <c r="F247" s="38"/>
      <c r="G247" s="37"/>
      <c r="H247" s="38"/>
      <c r="I247" s="37"/>
      <c r="J247" s="38"/>
      <c r="K247" s="37"/>
      <c r="L247" s="38"/>
      <c r="M247" s="37"/>
      <c r="N247" s="38"/>
      <c r="O247" s="37"/>
      <c r="P247" s="38"/>
      <c r="Q247" s="37"/>
      <c r="R247" s="37"/>
      <c r="S247" s="37"/>
    </row>
    <row r="248" spans="1:19" x14ac:dyDescent="0.25">
      <c r="A248" s="37"/>
      <c r="C248" s="37"/>
      <c r="D248" s="38"/>
      <c r="E248" s="37"/>
      <c r="F248" s="38"/>
      <c r="G248" s="37"/>
      <c r="H248" s="38"/>
      <c r="I248" s="37"/>
      <c r="J248" s="38"/>
      <c r="K248" s="37"/>
      <c r="L248" s="38"/>
      <c r="M248" s="37"/>
      <c r="N248" s="38"/>
      <c r="O248" s="37"/>
      <c r="P248" s="38"/>
      <c r="Q248" s="37"/>
      <c r="R248" s="37"/>
      <c r="S248" s="37"/>
    </row>
    <row r="249" spans="1:19" x14ac:dyDescent="0.25">
      <c r="A249" s="37"/>
      <c r="C249" s="37"/>
      <c r="D249" s="38"/>
      <c r="E249" s="37"/>
      <c r="F249" s="38"/>
      <c r="G249" s="37"/>
      <c r="H249" s="38"/>
      <c r="I249" s="37"/>
      <c r="J249" s="38"/>
      <c r="K249" s="37"/>
      <c r="L249" s="38"/>
      <c r="M249" s="37"/>
      <c r="N249" s="38"/>
      <c r="O249" s="37"/>
      <c r="P249" s="38"/>
      <c r="Q249" s="37"/>
      <c r="R249" s="37"/>
      <c r="S249" s="37"/>
    </row>
    <row r="250" spans="1:19" x14ac:dyDescent="0.25">
      <c r="A250" s="37"/>
      <c r="C250" s="37"/>
      <c r="D250" s="38"/>
      <c r="E250" s="37"/>
      <c r="F250" s="38"/>
      <c r="G250" s="37"/>
      <c r="H250" s="38"/>
      <c r="I250" s="37"/>
      <c r="J250" s="38"/>
      <c r="K250" s="37"/>
      <c r="L250" s="38"/>
      <c r="M250" s="37"/>
      <c r="N250" s="38"/>
      <c r="O250" s="37"/>
      <c r="P250" s="38"/>
      <c r="Q250" s="37"/>
      <c r="R250" s="37"/>
      <c r="S250" s="37"/>
    </row>
    <row r="251" spans="1:19" x14ac:dyDescent="0.25">
      <c r="A251" s="37"/>
      <c r="C251" s="37"/>
      <c r="D251" s="38"/>
      <c r="E251" s="37"/>
      <c r="F251" s="38"/>
      <c r="G251" s="37"/>
      <c r="H251" s="38"/>
      <c r="I251" s="37"/>
      <c r="J251" s="38"/>
      <c r="K251" s="37"/>
      <c r="L251" s="38"/>
      <c r="M251" s="37"/>
      <c r="N251" s="38"/>
      <c r="O251" s="37"/>
      <c r="P251" s="38"/>
      <c r="Q251" s="37"/>
      <c r="R251" s="37"/>
      <c r="S251" s="37"/>
    </row>
    <row r="252" spans="1:19" x14ac:dyDescent="0.25">
      <c r="A252" s="37"/>
      <c r="C252" s="37"/>
      <c r="D252" s="38"/>
      <c r="E252" s="37"/>
      <c r="F252" s="38"/>
      <c r="G252" s="37"/>
      <c r="H252" s="38"/>
      <c r="I252" s="37"/>
      <c r="J252" s="38"/>
      <c r="K252" s="37"/>
      <c r="L252" s="38"/>
      <c r="M252" s="37"/>
      <c r="N252" s="38"/>
      <c r="O252" s="37"/>
      <c r="P252" s="38"/>
      <c r="Q252" s="37"/>
      <c r="R252" s="37"/>
      <c r="S252" s="37"/>
    </row>
    <row r="253" spans="1:19" x14ac:dyDescent="0.25">
      <c r="A253" s="37"/>
      <c r="C253" s="37"/>
      <c r="D253" s="38"/>
      <c r="E253" s="37"/>
      <c r="F253" s="38"/>
      <c r="G253" s="37"/>
      <c r="H253" s="38"/>
      <c r="I253" s="37"/>
      <c r="J253" s="38"/>
      <c r="K253" s="37"/>
      <c r="L253" s="38"/>
      <c r="M253" s="37"/>
      <c r="N253" s="38"/>
      <c r="O253" s="37"/>
      <c r="P253" s="38"/>
      <c r="Q253" s="37"/>
      <c r="R253" s="37"/>
      <c r="S253" s="37"/>
    </row>
    <row r="254" spans="1:19" x14ac:dyDescent="0.25">
      <c r="A254" s="37"/>
      <c r="C254" s="37"/>
      <c r="D254" s="38"/>
      <c r="E254" s="37"/>
      <c r="F254" s="38"/>
      <c r="G254" s="37"/>
      <c r="H254" s="38"/>
      <c r="I254" s="37"/>
      <c r="J254" s="38"/>
      <c r="K254" s="37"/>
      <c r="L254" s="38"/>
      <c r="M254" s="37"/>
      <c r="N254" s="38"/>
      <c r="O254" s="37"/>
      <c r="P254" s="38"/>
      <c r="Q254" s="37"/>
      <c r="R254" s="37"/>
      <c r="S254" s="37"/>
    </row>
    <row r="255" spans="1:19" x14ac:dyDescent="0.25">
      <c r="A255" s="37"/>
      <c r="C255" s="37"/>
      <c r="D255" s="38"/>
      <c r="E255" s="37"/>
      <c r="F255" s="38"/>
      <c r="G255" s="37"/>
      <c r="H255" s="38"/>
      <c r="I255" s="37"/>
      <c r="J255" s="38"/>
      <c r="K255" s="37"/>
      <c r="L255" s="38"/>
      <c r="M255" s="37"/>
      <c r="N255" s="38"/>
      <c r="O255" s="37"/>
      <c r="P255" s="38"/>
      <c r="Q255" s="37"/>
      <c r="R255" s="37"/>
      <c r="S255" s="37"/>
    </row>
    <row r="256" spans="1:19" x14ac:dyDescent="0.25">
      <c r="A256" s="37"/>
      <c r="C256" s="37"/>
      <c r="D256" s="38"/>
      <c r="E256" s="37"/>
      <c r="F256" s="38"/>
      <c r="G256" s="37"/>
      <c r="H256" s="38"/>
      <c r="I256" s="37"/>
      <c r="J256" s="38"/>
      <c r="K256" s="37"/>
      <c r="L256" s="38"/>
      <c r="M256" s="37"/>
      <c r="N256" s="38"/>
      <c r="O256" s="37"/>
      <c r="P256" s="38"/>
      <c r="Q256" s="37"/>
      <c r="R256" s="37"/>
      <c r="S256" s="37"/>
    </row>
    <row r="257" spans="1:19" x14ac:dyDescent="0.25">
      <c r="A257" s="37"/>
      <c r="C257" s="37"/>
      <c r="D257" s="38"/>
      <c r="E257" s="37"/>
      <c r="F257" s="38"/>
      <c r="G257" s="37"/>
      <c r="H257" s="38"/>
      <c r="I257" s="37"/>
      <c r="J257" s="38"/>
      <c r="K257" s="37"/>
      <c r="L257" s="38"/>
      <c r="M257" s="37"/>
      <c r="N257" s="38"/>
      <c r="O257" s="37"/>
      <c r="P257" s="38"/>
      <c r="Q257" s="37"/>
      <c r="R257" s="37"/>
      <c r="S257" s="37"/>
    </row>
    <row r="258" spans="1:19" x14ac:dyDescent="0.25">
      <c r="A258" s="37"/>
      <c r="C258" s="37"/>
      <c r="D258" s="38"/>
      <c r="E258" s="37"/>
      <c r="F258" s="38"/>
      <c r="G258" s="37"/>
      <c r="H258" s="38"/>
      <c r="I258" s="37"/>
      <c r="J258" s="38"/>
      <c r="K258" s="37"/>
      <c r="L258" s="38"/>
      <c r="M258" s="37"/>
      <c r="N258" s="38"/>
      <c r="O258" s="37"/>
      <c r="P258" s="38"/>
      <c r="Q258" s="37"/>
      <c r="R258" s="37"/>
      <c r="S258" s="37"/>
    </row>
    <row r="259" spans="1:19" x14ac:dyDescent="0.25">
      <c r="A259" s="37"/>
      <c r="C259" s="37"/>
      <c r="D259" s="38"/>
      <c r="E259" s="37"/>
      <c r="F259" s="38"/>
      <c r="G259" s="37"/>
      <c r="H259" s="38"/>
      <c r="I259" s="37"/>
      <c r="J259" s="38"/>
      <c r="K259" s="37"/>
      <c r="L259" s="38"/>
      <c r="M259" s="37"/>
      <c r="N259" s="38"/>
      <c r="O259" s="37"/>
      <c r="P259" s="38"/>
      <c r="Q259" s="37"/>
      <c r="R259" s="37"/>
      <c r="S259" s="37"/>
    </row>
    <row r="260" spans="1:19" x14ac:dyDescent="0.25">
      <c r="A260" s="37"/>
      <c r="C260" s="37"/>
      <c r="D260" s="38"/>
      <c r="E260" s="37"/>
      <c r="F260" s="38"/>
      <c r="G260" s="37"/>
      <c r="H260" s="38"/>
      <c r="I260" s="37"/>
      <c r="J260" s="38"/>
      <c r="K260" s="37"/>
      <c r="L260" s="38"/>
      <c r="M260" s="37"/>
      <c r="N260" s="38"/>
      <c r="O260" s="37"/>
      <c r="P260" s="38"/>
      <c r="Q260" s="37"/>
      <c r="R260" s="37"/>
      <c r="S260" s="37"/>
    </row>
    <row r="261" spans="1:19" x14ac:dyDescent="0.25">
      <c r="A261" s="37"/>
      <c r="C261" s="37"/>
      <c r="D261" s="38"/>
      <c r="E261" s="37"/>
      <c r="F261" s="38"/>
      <c r="G261" s="37"/>
      <c r="H261" s="38"/>
      <c r="I261" s="37"/>
      <c r="J261" s="38"/>
      <c r="K261" s="37"/>
      <c r="L261" s="38"/>
      <c r="M261" s="37"/>
      <c r="N261" s="38"/>
      <c r="O261" s="37"/>
      <c r="P261" s="38"/>
      <c r="Q261" s="37"/>
      <c r="R261" s="37"/>
      <c r="S261" s="37"/>
    </row>
    <row r="262" spans="1:19" x14ac:dyDescent="0.25">
      <c r="A262" s="37"/>
      <c r="C262" s="37"/>
      <c r="D262" s="38"/>
      <c r="E262" s="37"/>
      <c r="F262" s="38"/>
      <c r="G262" s="37"/>
      <c r="H262" s="38"/>
      <c r="I262" s="37"/>
      <c r="J262" s="38"/>
      <c r="K262" s="37"/>
      <c r="L262" s="38"/>
      <c r="M262" s="37"/>
      <c r="N262" s="38"/>
      <c r="O262" s="37"/>
      <c r="P262" s="38"/>
      <c r="Q262" s="37"/>
      <c r="R262" s="37"/>
      <c r="S262" s="37"/>
    </row>
    <row r="263" spans="1:19" x14ac:dyDescent="0.25">
      <c r="A263" s="37"/>
      <c r="C263" s="37"/>
      <c r="D263" s="38"/>
      <c r="E263" s="37"/>
      <c r="F263" s="38"/>
      <c r="G263" s="37"/>
      <c r="H263" s="38"/>
      <c r="I263" s="37"/>
      <c r="J263" s="38"/>
      <c r="K263" s="37"/>
      <c r="L263" s="38"/>
      <c r="M263" s="37"/>
      <c r="N263" s="38"/>
      <c r="O263" s="37"/>
      <c r="P263" s="38"/>
      <c r="Q263" s="37"/>
      <c r="R263" s="37"/>
      <c r="S263" s="37"/>
    </row>
    <row r="264" spans="1:19" x14ac:dyDescent="0.25">
      <c r="A264" s="37"/>
      <c r="C264" s="37"/>
      <c r="D264" s="38"/>
      <c r="E264" s="37"/>
      <c r="F264" s="38"/>
      <c r="G264" s="37"/>
      <c r="H264" s="38"/>
      <c r="I264" s="37"/>
      <c r="J264" s="38"/>
      <c r="K264" s="37"/>
      <c r="L264" s="38"/>
      <c r="M264" s="37"/>
      <c r="N264" s="38"/>
      <c r="O264" s="37"/>
      <c r="P264" s="38"/>
      <c r="Q264" s="37"/>
      <c r="R264" s="37"/>
      <c r="S264" s="37"/>
    </row>
    <row r="265" spans="1:19" x14ac:dyDescent="0.25">
      <c r="A265" s="37"/>
      <c r="C265" s="37"/>
      <c r="D265" s="38"/>
      <c r="E265" s="37"/>
      <c r="F265" s="38"/>
      <c r="G265" s="37"/>
      <c r="H265" s="38"/>
      <c r="I265" s="37"/>
      <c r="J265" s="38"/>
      <c r="K265" s="37"/>
      <c r="L265" s="38"/>
      <c r="M265" s="37"/>
      <c r="N265" s="38"/>
      <c r="O265" s="37"/>
      <c r="P265" s="38"/>
      <c r="Q265" s="37"/>
      <c r="R265" s="37"/>
      <c r="S265" s="37"/>
    </row>
    <row r="266" spans="1:19" x14ac:dyDescent="0.25">
      <c r="A266" s="37"/>
      <c r="C266" s="37"/>
      <c r="D266" s="38"/>
      <c r="E266" s="37"/>
      <c r="F266" s="38"/>
      <c r="G266" s="37"/>
      <c r="H266" s="38"/>
      <c r="I266" s="37"/>
      <c r="J266" s="38"/>
      <c r="K266" s="37"/>
      <c r="L266" s="38"/>
      <c r="M266" s="37"/>
      <c r="N266" s="38"/>
      <c r="O266" s="37"/>
      <c r="P266" s="38"/>
      <c r="Q266" s="37"/>
      <c r="R266" s="37"/>
      <c r="S266" s="37"/>
    </row>
    <row r="267" spans="1:19" x14ac:dyDescent="0.25">
      <c r="A267" s="37"/>
      <c r="C267" s="37"/>
      <c r="D267" s="38"/>
      <c r="E267" s="37"/>
      <c r="F267" s="38"/>
      <c r="G267" s="37"/>
      <c r="H267" s="38"/>
      <c r="I267" s="37"/>
      <c r="J267" s="38"/>
      <c r="K267" s="37"/>
      <c r="L267" s="38"/>
      <c r="M267" s="37"/>
      <c r="N267" s="38"/>
      <c r="O267" s="37"/>
      <c r="P267" s="38"/>
      <c r="Q267" s="37"/>
      <c r="R267" s="37"/>
      <c r="S267" s="37"/>
    </row>
    <row r="268" spans="1:19" x14ac:dyDescent="0.25">
      <c r="A268" s="37"/>
      <c r="C268" s="37"/>
      <c r="D268" s="38"/>
      <c r="E268" s="37"/>
      <c r="F268" s="38"/>
      <c r="G268" s="37"/>
      <c r="H268" s="38"/>
      <c r="I268" s="37"/>
      <c r="J268" s="38"/>
      <c r="K268" s="37"/>
      <c r="L268" s="38"/>
      <c r="M268" s="37"/>
      <c r="N268" s="38"/>
      <c r="O268" s="37"/>
      <c r="P268" s="38"/>
      <c r="Q268" s="37"/>
      <c r="R268" s="37"/>
      <c r="S268" s="37"/>
    </row>
    <row r="269" spans="1:19" x14ac:dyDescent="0.25">
      <c r="A269" s="37"/>
      <c r="C269" s="37"/>
      <c r="D269" s="38"/>
      <c r="E269" s="37"/>
      <c r="F269" s="38"/>
      <c r="G269" s="37"/>
      <c r="H269" s="38"/>
      <c r="I269" s="37"/>
      <c r="J269" s="38"/>
      <c r="K269" s="37"/>
      <c r="L269" s="38"/>
      <c r="M269" s="37"/>
      <c r="N269" s="38"/>
      <c r="O269" s="37"/>
      <c r="P269" s="38"/>
      <c r="Q269" s="37"/>
      <c r="R269" s="37"/>
      <c r="S269" s="37"/>
    </row>
    <row r="270" spans="1:19" x14ac:dyDescent="0.25">
      <c r="A270" s="37"/>
      <c r="C270" s="37"/>
      <c r="D270" s="38"/>
      <c r="E270" s="37"/>
      <c r="F270" s="38"/>
      <c r="G270" s="37"/>
      <c r="H270" s="38"/>
      <c r="I270" s="37"/>
      <c r="J270" s="38"/>
      <c r="K270" s="37"/>
      <c r="L270" s="38"/>
      <c r="M270" s="37"/>
      <c r="N270" s="38"/>
      <c r="O270" s="37"/>
      <c r="P270" s="38"/>
      <c r="Q270" s="37"/>
      <c r="R270" s="37"/>
      <c r="S270" s="37"/>
    </row>
    <row r="271" spans="1:19" x14ac:dyDescent="0.25">
      <c r="A271" s="37"/>
      <c r="C271" s="37"/>
      <c r="D271" s="38"/>
      <c r="E271" s="37"/>
      <c r="F271" s="38"/>
      <c r="G271" s="37"/>
      <c r="H271" s="38"/>
      <c r="I271" s="37"/>
      <c r="J271" s="38"/>
      <c r="K271" s="37"/>
      <c r="L271" s="38"/>
      <c r="M271" s="37"/>
      <c r="N271" s="38"/>
      <c r="O271" s="37"/>
      <c r="P271" s="38"/>
      <c r="Q271" s="37"/>
      <c r="R271" s="37"/>
      <c r="S271" s="37"/>
    </row>
    <row r="272" spans="1:19" x14ac:dyDescent="0.25">
      <c r="A272" s="37"/>
      <c r="C272" s="37"/>
      <c r="D272" s="38"/>
      <c r="E272" s="37"/>
      <c r="F272" s="38"/>
      <c r="G272" s="37"/>
      <c r="H272" s="38"/>
      <c r="I272" s="37"/>
      <c r="J272" s="38"/>
      <c r="K272" s="37"/>
      <c r="L272" s="38"/>
      <c r="M272" s="37"/>
      <c r="N272" s="38"/>
      <c r="O272" s="37"/>
      <c r="P272" s="38"/>
      <c r="Q272" s="37"/>
      <c r="R272" s="37"/>
      <c r="S272" s="37"/>
    </row>
    <row r="273" spans="1:19" x14ac:dyDescent="0.25">
      <c r="A273" s="37"/>
      <c r="C273" s="37"/>
      <c r="D273" s="38"/>
      <c r="E273" s="37"/>
      <c r="F273" s="38"/>
      <c r="G273" s="37"/>
      <c r="H273" s="38"/>
      <c r="I273" s="37"/>
      <c r="J273" s="38"/>
      <c r="K273" s="37"/>
      <c r="L273" s="38"/>
      <c r="M273" s="37"/>
      <c r="N273" s="38"/>
      <c r="O273" s="37"/>
      <c r="P273" s="38"/>
      <c r="Q273" s="37"/>
      <c r="R273" s="37"/>
      <c r="S273" s="37"/>
    </row>
    <row r="274" spans="1:19" x14ac:dyDescent="0.25">
      <c r="A274" s="37"/>
      <c r="C274" s="37"/>
      <c r="D274" s="38"/>
      <c r="E274" s="37"/>
      <c r="F274" s="38"/>
      <c r="G274" s="37"/>
      <c r="H274" s="38"/>
      <c r="I274" s="37"/>
      <c r="J274" s="38"/>
      <c r="K274" s="37"/>
      <c r="L274" s="38"/>
      <c r="M274" s="37"/>
      <c r="N274" s="38"/>
      <c r="O274" s="37"/>
      <c r="P274" s="38"/>
      <c r="Q274" s="37"/>
      <c r="R274" s="37"/>
      <c r="S274" s="37"/>
    </row>
    <row r="275" spans="1:19" x14ac:dyDescent="0.25">
      <c r="A275" s="37"/>
      <c r="C275" s="37"/>
      <c r="D275" s="38"/>
      <c r="E275" s="37"/>
      <c r="F275" s="38"/>
      <c r="G275" s="37"/>
      <c r="H275" s="38"/>
      <c r="I275" s="37"/>
      <c r="J275" s="38"/>
      <c r="K275" s="37"/>
      <c r="L275" s="38"/>
      <c r="M275" s="37"/>
      <c r="N275" s="38"/>
      <c r="O275" s="37"/>
      <c r="P275" s="38"/>
      <c r="Q275" s="37"/>
      <c r="R275" s="37"/>
      <c r="S275" s="37"/>
    </row>
    <row r="276" spans="1:19" x14ac:dyDescent="0.25">
      <c r="A276" s="37"/>
      <c r="C276" s="37"/>
      <c r="D276" s="38"/>
      <c r="E276" s="37"/>
      <c r="F276" s="38"/>
      <c r="G276" s="37"/>
      <c r="H276" s="38"/>
      <c r="I276" s="37"/>
      <c r="J276" s="38"/>
      <c r="K276" s="37"/>
      <c r="L276" s="38"/>
      <c r="M276" s="37"/>
      <c r="N276" s="38"/>
      <c r="O276" s="37"/>
      <c r="P276" s="38"/>
      <c r="Q276" s="37"/>
      <c r="R276" s="37"/>
      <c r="S276" s="37"/>
    </row>
    <row r="277" spans="1:19" x14ac:dyDescent="0.25">
      <c r="A277" s="37"/>
      <c r="C277" s="37"/>
      <c r="D277" s="38"/>
      <c r="E277" s="37"/>
      <c r="F277" s="38"/>
      <c r="G277" s="37"/>
      <c r="H277" s="38"/>
      <c r="I277" s="37"/>
      <c r="J277" s="38"/>
      <c r="K277" s="37"/>
      <c r="L277" s="38"/>
      <c r="M277" s="37"/>
      <c r="N277" s="38"/>
      <c r="O277" s="37"/>
      <c r="P277" s="38"/>
      <c r="Q277" s="37"/>
      <c r="R277" s="37"/>
      <c r="S277" s="37"/>
    </row>
    <row r="278" spans="1:19" x14ac:dyDescent="0.25">
      <c r="A278" s="37"/>
      <c r="C278" s="37"/>
      <c r="D278" s="38"/>
      <c r="E278" s="37"/>
      <c r="F278" s="38"/>
      <c r="G278" s="37"/>
      <c r="H278" s="38"/>
      <c r="I278" s="37"/>
      <c r="J278" s="38"/>
      <c r="K278" s="37"/>
      <c r="L278" s="38"/>
      <c r="M278" s="37"/>
      <c r="N278" s="38"/>
      <c r="O278" s="37"/>
      <c r="P278" s="38"/>
      <c r="Q278" s="37"/>
      <c r="R278" s="37"/>
      <c r="S278" s="37"/>
    </row>
    <row r="279" spans="1:19" x14ac:dyDescent="0.25">
      <c r="A279" s="37"/>
      <c r="C279" s="37"/>
      <c r="D279" s="38"/>
      <c r="E279" s="37"/>
      <c r="F279" s="38"/>
      <c r="G279" s="37"/>
      <c r="H279" s="38"/>
      <c r="I279" s="37"/>
      <c r="J279" s="38"/>
      <c r="K279" s="37"/>
      <c r="L279" s="38"/>
      <c r="M279" s="37"/>
      <c r="N279" s="38"/>
      <c r="O279" s="37"/>
      <c r="P279" s="38"/>
      <c r="Q279" s="37"/>
      <c r="R279" s="37"/>
      <c r="S279" s="37"/>
    </row>
    <row r="280" spans="1:19" x14ac:dyDescent="0.25">
      <c r="A280" s="37"/>
      <c r="C280" s="37"/>
      <c r="D280" s="38"/>
      <c r="E280" s="37"/>
      <c r="F280" s="38"/>
      <c r="G280" s="37"/>
      <c r="H280" s="38"/>
      <c r="I280" s="37"/>
      <c r="J280" s="38"/>
      <c r="K280" s="37"/>
      <c r="L280" s="38"/>
      <c r="M280" s="37"/>
      <c r="N280" s="38"/>
      <c r="O280" s="37"/>
      <c r="P280" s="38"/>
      <c r="Q280" s="37"/>
      <c r="R280" s="37"/>
      <c r="S280" s="37"/>
    </row>
    <row r="281" spans="1:19" x14ac:dyDescent="0.25">
      <c r="A281" s="37"/>
      <c r="C281" s="37"/>
      <c r="D281" s="38"/>
      <c r="E281" s="37"/>
      <c r="F281" s="38"/>
      <c r="G281" s="37"/>
      <c r="H281" s="38"/>
      <c r="I281" s="37"/>
      <c r="J281" s="38"/>
      <c r="K281" s="37"/>
      <c r="L281" s="38"/>
      <c r="M281" s="37"/>
      <c r="N281" s="38"/>
      <c r="O281" s="37"/>
      <c r="P281" s="38"/>
      <c r="Q281" s="37"/>
      <c r="R281" s="37"/>
      <c r="S281" s="37"/>
    </row>
    <row r="282" spans="1:19" x14ac:dyDescent="0.25">
      <c r="A282" s="37"/>
      <c r="C282" s="37"/>
      <c r="D282" s="38"/>
      <c r="E282" s="37"/>
      <c r="F282" s="38"/>
      <c r="G282" s="37"/>
      <c r="H282" s="38"/>
      <c r="I282" s="37"/>
      <c r="J282" s="38"/>
      <c r="K282" s="37"/>
      <c r="L282" s="38"/>
      <c r="M282" s="37"/>
      <c r="N282" s="38"/>
      <c r="O282" s="37"/>
      <c r="P282" s="38"/>
      <c r="Q282" s="37"/>
      <c r="R282" s="37"/>
      <c r="S282" s="37"/>
    </row>
    <row r="283" spans="1:19" x14ac:dyDescent="0.25">
      <c r="A283" s="37"/>
      <c r="C283" s="37"/>
      <c r="D283" s="38"/>
      <c r="E283" s="37"/>
      <c r="F283" s="38"/>
      <c r="G283" s="37"/>
      <c r="H283" s="38"/>
      <c r="I283" s="37"/>
      <c r="J283" s="38"/>
      <c r="K283" s="37"/>
      <c r="L283" s="38"/>
      <c r="M283" s="37"/>
      <c r="N283" s="38"/>
      <c r="O283" s="37"/>
      <c r="P283" s="38"/>
      <c r="Q283" s="37"/>
      <c r="R283" s="37"/>
      <c r="S283" s="37"/>
    </row>
    <row r="284" spans="1:19" x14ac:dyDescent="0.25">
      <c r="A284" s="37"/>
      <c r="C284" s="37"/>
      <c r="D284" s="38"/>
      <c r="E284" s="37"/>
      <c r="F284" s="38"/>
      <c r="G284" s="37"/>
      <c r="H284" s="38"/>
      <c r="I284" s="37"/>
      <c r="J284" s="38"/>
      <c r="K284" s="37"/>
      <c r="L284" s="38"/>
      <c r="M284" s="37"/>
      <c r="N284" s="38"/>
      <c r="O284" s="37"/>
      <c r="P284" s="38"/>
      <c r="Q284" s="37"/>
      <c r="R284" s="37"/>
      <c r="S284" s="37"/>
    </row>
    <row r="285" spans="1:19" x14ac:dyDescent="0.25">
      <c r="A285" s="37"/>
      <c r="C285" s="37"/>
      <c r="D285" s="38"/>
      <c r="E285" s="37"/>
      <c r="F285" s="38"/>
      <c r="G285" s="37"/>
      <c r="H285" s="38"/>
      <c r="I285" s="37"/>
      <c r="J285" s="38"/>
      <c r="K285" s="37"/>
      <c r="L285" s="38"/>
      <c r="M285" s="37"/>
      <c r="N285" s="38"/>
      <c r="O285" s="37"/>
      <c r="P285" s="38"/>
      <c r="Q285" s="37"/>
      <c r="R285" s="37"/>
      <c r="S285" s="37"/>
    </row>
    <row r="286" spans="1:19" x14ac:dyDescent="0.25">
      <c r="A286" s="37"/>
      <c r="C286" s="37"/>
      <c r="D286" s="38"/>
      <c r="E286" s="37"/>
      <c r="F286" s="38"/>
      <c r="G286" s="37"/>
      <c r="H286" s="38"/>
      <c r="I286" s="37"/>
      <c r="J286" s="38"/>
      <c r="K286" s="37"/>
      <c r="L286" s="38"/>
      <c r="M286" s="37"/>
      <c r="N286" s="38"/>
      <c r="O286" s="37"/>
      <c r="P286" s="38"/>
      <c r="Q286" s="37"/>
      <c r="R286" s="37"/>
      <c r="S286" s="37"/>
    </row>
    <row r="287" spans="1:19" x14ac:dyDescent="0.25">
      <c r="A287" s="37"/>
      <c r="C287" s="37"/>
      <c r="D287" s="38"/>
      <c r="E287" s="37"/>
      <c r="F287" s="38"/>
      <c r="G287" s="37"/>
      <c r="H287" s="38"/>
      <c r="I287" s="37"/>
      <c r="J287" s="38"/>
      <c r="K287" s="37"/>
      <c r="L287" s="38"/>
      <c r="M287" s="37"/>
      <c r="N287" s="38"/>
      <c r="O287" s="37"/>
      <c r="P287" s="38"/>
      <c r="Q287" s="37"/>
      <c r="R287" s="37"/>
      <c r="S287" s="37"/>
    </row>
    <row r="288" spans="1:19" x14ac:dyDescent="0.25">
      <c r="A288" s="37"/>
      <c r="C288" s="37"/>
      <c r="D288" s="38"/>
      <c r="E288" s="37"/>
      <c r="F288" s="38"/>
      <c r="G288" s="37"/>
      <c r="H288" s="38"/>
      <c r="I288" s="37"/>
      <c r="J288" s="38"/>
      <c r="K288" s="37"/>
      <c r="L288" s="38"/>
      <c r="M288" s="37"/>
      <c r="N288" s="38"/>
      <c r="O288" s="37"/>
      <c r="P288" s="38"/>
      <c r="Q288" s="37"/>
      <c r="R288" s="37"/>
      <c r="S288" s="37"/>
    </row>
    <row r="289" spans="1:19" x14ac:dyDescent="0.25">
      <c r="A289" s="37"/>
      <c r="C289" s="37"/>
      <c r="D289" s="38"/>
      <c r="E289" s="37"/>
      <c r="F289" s="38"/>
      <c r="G289" s="37"/>
      <c r="H289" s="38"/>
      <c r="I289" s="37"/>
      <c r="J289" s="38"/>
      <c r="K289" s="37"/>
      <c r="L289" s="38"/>
      <c r="M289" s="37"/>
      <c r="N289" s="38"/>
      <c r="O289" s="37"/>
      <c r="P289" s="38"/>
      <c r="Q289" s="37"/>
      <c r="R289" s="37"/>
      <c r="S289" s="37"/>
    </row>
    <row r="290" spans="1:19" x14ac:dyDescent="0.25">
      <c r="A290" s="37"/>
      <c r="C290" s="37"/>
      <c r="D290" s="38"/>
      <c r="E290" s="37"/>
      <c r="F290" s="38"/>
      <c r="G290" s="37"/>
      <c r="H290" s="38"/>
      <c r="I290" s="37"/>
      <c r="J290" s="38"/>
      <c r="K290" s="37"/>
      <c r="L290" s="38"/>
      <c r="M290" s="37"/>
      <c r="N290" s="38"/>
      <c r="O290" s="37"/>
      <c r="P290" s="38"/>
      <c r="Q290" s="37"/>
      <c r="R290" s="37"/>
      <c r="S290" s="37"/>
    </row>
    <row r="291" spans="1:19" x14ac:dyDescent="0.25">
      <c r="A291" s="37"/>
      <c r="C291" s="37"/>
      <c r="D291" s="38"/>
      <c r="E291" s="37"/>
      <c r="F291" s="38"/>
      <c r="G291" s="37"/>
      <c r="H291" s="38"/>
      <c r="I291" s="37"/>
      <c r="J291" s="38"/>
      <c r="K291" s="37"/>
      <c r="L291" s="38"/>
      <c r="M291" s="37"/>
      <c r="N291" s="38"/>
      <c r="O291" s="37"/>
      <c r="P291" s="38"/>
      <c r="Q291" s="37"/>
      <c r="R291" s="37"/>
      <c r="S291" s="37"/>
    </row>
    <row r="292" spans="1:19" x14ac:dyDescent="0.25">
      <c r="A292" s="37"/>
      <c r="C292" s="37"/>
      <c r="D292" s="38"/>
      <c r="E292" s="37"/>
      <c r="F292" s="38"/>
      <c r="G292" s="37"/>
      <c r="H292" s="38"/>
      <c r="I292" s="37"/>
      <c r="J292" s="38"/>
      <c r="K292" s="37"/>
      <c r="L292" s="38"/>
      <c r="M292" s="37"/>
      <c r="N292" s="38"/>
      <c r="O292" s="37"/>
      <c r="P292" s="38"/>
      <c r="Q292" s="37"/>
      <c r="R292" s="37"/>
      <c r="S292" s="37"/>
    </row>
    <row r="293" spans="1:19" x14ac:dyDescent="0.25">
      <c r="A293" s="37"/>
      <c r="C293" s="37"/>
      <c r="D293" s="38"/>
      <c r="E293" s="37"/>
      <c r="F293" s="38"/>
      <c r="G293" s="37"/>
      <c r="H293" s="38"/>
      <c r="I293" s="37"/>
      <c r="J293" s="38"/>
      <c r="K293" s="37"/>
      <c r="L293" s="38"/>
      <c r="M293" s="37"/>
      <c r="N293" s="38"/>
      <c r="O293" s="37"/>
      <c r="P293" s="38"/>
      <c r="Q293" s="37"/>
      <c r="R293" s="37"/>
      <c r="S293" s="37"/>
    </row>
    <row r="294" spans="1:19" x14ac:dyDescent="0.25">
      <c r="A294" s="37"/>
      <c r="C294" s="37"/>
      <c r="D294" s="38"/>
      <c r="E294" s="37"/>
      <c r="F294" s="38"/>
      <c r="G294" s="37"/>
      <c r="H294" s="38"/>
      <c r="I294" s="37"/>
      <c r="J294" s="38"/>
      <c r="K294" s="37"/>
      <c r="L294" s="38"/>
      <c r="M294" s="37"/>
      <c r="N294" s="38"/>
      <c r="O294" s="37"/>
      <c r="P294" s="38"/>
      <c r="Q294" s="37"/>
      <c r="R294" s="37"/>
      <c r="S294" s="37"/>
    </row>
    <row r="295" spans="1:19" x14ac:dyDescent="0.25">
      <c r="A295" s="37"/>
      <c r="C295" s="37"/>
      <c r="D295" s="38"/>
      <c r="E295" s="37"/>
      <c r="F295" s="38"/>
      <c r="G295" s="37"/>
      <c r="H295" s="38"/>
      <c r="I295" s="37"/>
      <c r="J295" s="38"/>
      <c r="K295" s="37"/>
      <c r="L295" s="38"/>
      <c r="M295" s="37"/>
      <c r="N295" s="38"/>
      <c r="O295" s="37"/>
      <c r="P295" s="38"/>
      <c r="Q295" s="37"/>
      <c r="R295" s="37"/>
      <c r="S295" s="37"/>
    </row>
    <row r="296" spans="1:19" x14ac:dyDescent="0.25">
      <c r="A296" s="37"/>
      <c r="C296" s="37"/>
      <c r="D296" s="38"/>
      <c r="E296" s="37"/>
      <c r="F296" s="38"/>
      <c r="G296" s="37"/>
      <c r="H296" s="38"/>
      <c r="I296" s="37"/>
      <c r="J296" s="38"/>
      <c r="K296" s="37"/>
      <c r="L296" s="38"/>
      <c r="M296" s="37"/>
      <c r="N296" s="38"/>
      <c r="O296" s="37"/>
      <c r="P296" s="38"/>
      <c r="Q296" s="37"/>
      <c r="R296" s="37"/>
      <c r="S296" s="37"/>
    </row>
    <row r="297" spans="1:19" x14ac:dyDescent="0.25">
      <c r="A297" s="37"/>
      <c r="C297" s="37"/>
      <c r="D297" s="38"/>
      <c r="E297" s="37"/>
      <c r="F297" s="38"/>
      <c r="G297" s="37"/>
      <c r="H297" s="38"/>
      <c r="I297" s="37"/>
      <c r="J297" s="38"/>
      <c r="K297" s="37"/>
      <c r="L297" s="38"/>
      <c r="M297" s="37"/>
      <c r="N297" s="38"/>
      <c r="O297" s="37"/>
      <c r="P297" s="38"/>
      <c r="Q297" s="37"/>
      <c r="R297" s="37"/>
      <c r="S297" s="37"/>
    </row>
    <row r="298" spans="1:19" x14ac:dyDescent="0.25">
      <c r="A298" s="37"/>
      <c r="C298" s="37"/>
      <c r="D298" s="38"/>
      <c r="E298" s="37"/>
      <c r="F298" s="38"/>
      <c r="G298" s="37"/>
      <c r="H298" s="38"/>
      <c r="I298" s="37"/>
      <c r="J298" s="38"/>
      <c r="K298" s="37"/>
      <c r="L298" s="38"/>
      <c r="M298" s="37"/>
      <c r="N298" s="38"/>
      <c r="O298" s="37"/>
      <c r="P298" s="38"/>
      <c r="Q298" s="37"/>
      <c r="R298" s="37"/>
      <c r="S298" s="37"/>
    </row>
    <row r="299" spans="1:19" x14ac:dyDescent="0.25">
      <c r="A299" s="37"/>
      <c r="C299" s="37"/>
      <c r="D299" s="38"/>
      <c r="E299" s="37"/>
      <c r="F299" s="38"/>
      <c r="G299" s="37"/>
      <c r="H299" s="38"/>
      <c r="I299" s="37"/>
      <c r="J299" s="38"/>
      <c r="K299" s="37"/>
      <c r="L299" s="38"/>
      <c r="M299" s="37"/>
      <c r="N299" s="38"/>
      <c r="O299" s="37"/>
      <c r="P299" s="38"/>
      <c r="Q299" s="37"/>
      <c r="R299" s="37"/>
      <c r="S299" s="37"/>
    </row>
    <row r="300" spans="1:19" x14ac:dyDescent="0.25">
      <c r="A300" s="37"/>
      <c r="C300" s="37"/>
      <c r="D300" s="38"/>
      <c r="E300" s="37"/>
      <c r="F300" s="38"/>
      <c r="G300" s="37"/>
      <c r="H300" s="38"/>
      <c r="I300" s="37"/>
      <c r="J300" s="38"/>
      <c r="K300" s="37"/>
      <c r="L300" s="38"/>
      <c r="M300" s="37"/>
      <c r="N300" s="38"/>
      <c r="O300" s="37"/>
      <c r="P300" s="38"/>
      <c r="Q300" s="37"/>
      <c r="R300" s="37"/>
      <c r="S300" s="37"/>
    </row>
    <row r="301" spans="1:19" x14ac:dyDescent="0.25">
      <c r="A301" s="37"/>
      <c r="C301" s="37"/>
      <c r="D301" s="38"/>
      <c r="E301" s="37"/>
      <c r="F301" s="38"/>
      <c r="G301" s="37"/>
      <c r="H301" s="38"/>
      <c r="I301" s="37"/>
      <c r="J301" s="38"/>
      <c r="K301" s="37"/>
      <c r="L301" s="38"/>
      <c r="M301" s="37"/>
      <c r="N301" s="38"/>
      <c r="O301" s="37"/>
      <c r="P301" s="38"/>
      <c r="Q301" s="37"/>
      <c r="R301" s="37"/>
      <c r="S301" s="37"/>
    </row>
    <row r="302" spans="1:19" x14ac:dyDescent="0.25">
      <c r="A302" s="37"/>
      <c r="C302" s="37"/>
      <c r="D302" s="38"/>
      <c r="E302" s="37"/>
      <c r="F302" s="38"/>
      <c r="G302" s="37"/>
      <c r="H302" s="38"/>
      <c r="I302" s="37"/>
      <c r="J302" s="38"/>
      <c r="K302" s="37"/>
      <c r="L302" s="38"/>
      <c r="M302" s="37"/>
      <c r="N302" s="38"/>
      <c r="O302" s="37"/>
      <c r="P302" s="38"/>
      <c r="Q302" s="37"/>
      <c r="R302" s="37"/>
      <c r="S302" s="37"/>
    </row>
    <row r="303" spans="1:19" x14ac:dyDescent="0.25">
      <c r="A303" s="37"/>
      <c r="C303" s="37"/>
      <c r="D303" s="38"/>
      <c r="E303" s="37"/>
      <c r="F303" s="38"/>
      <c r="G303" s="37"/>
      <c r="H303" s="38"/>
      <c r="I303" s="37"/>
      <c r="J303" s="38"/>
      <c r="K303" s="37"/>
      <c r="L303" s="38"/>
      <c r="M303" s="37"/>
      <c r="N303" s="38"/>
      <c r="O303" s="37"/>
      <c r="P303" s="38"/>
      <c r="Q303" s="37"/>
      <c r="R303" s="37"/>
      <c r="S303" s="37"/>
    </row>
    <row r="304" spans="1:19" x14ac:dyDescent="0.25">
      <c r="A304" s="37"/>
      <c r="C304" s="37"/>
      <c r="D304" s="38"/>
      <c r="E304" s="37"/>
      <c r="F304" s="38"/>
      <c r="G304" s="37"/>
      <c r="H304" s="38"/>
      <c r="I304" s="37"/>
      <c r="J304" s="38"/>
      <c r="K304" s="37"/>
      <c r="L304" s="38"/>
      <c r="M304" s="37"/>
      <c r="N304" s="38"/>
      <c r="O304" s="37"/>
      <c r="P304" s="38"/>
      <c r="Q304" s="37"/>
      <c r="R304" s="37"/>
      <c r="S304" s="37"/>
    </row>
    <row r="305" spans="1:19" x14ac:dyDescent="0.25">
      <c r="A305" s="37"/>
      <c r="C305" s="37"/>
      <c r="D305" s="38"/>
      <c r="E305" s="37"/>
      <c r="F305" s="38"/>
      <c r="G305" s="37"/>
      <c r="H305" s="38"/>
      <c r="I305" s="37"/>
      <c r="J305" s="38"/>
      <c r="K305" s="37"/>
      <c r="L305" s="38"/>
      <c r="M305" s="37"/>
      <c r="N305" s="38"/>
      <c r="O305" s="37"/>
      <c r="P305" s="38"/>
      <c r="Q305" s="37"/>
      <c r="R305" s="37"/>
      <c r="S305" s="37"/>
    </row>
    <row r="306" spans="1:19" x14ac:dyDescent="0.25">
      <c r="A306" s="37"/>
      <c r="C306" s="37"/>
      <c r="D306" s="38"/>
      <c r="E306" s="37"/>
      <c r="F306" s="38"/>
      <c r="G306" s="37"/>
      <c r="H306" s="38"/>
      <c r="I306" s="37"/>
      <c r="J306" s="38"/>
      <c r="K306" s="37"/>
      <c r="L306" s="38"/>
      <c r="M306" s="37"/>
      <c r="N306" s="38"/>
      <c r="O306" s="37"/>
      <c r="P306" s="38"/>
      <c r="Q306" s="37"/>
      <c r="R306" s="37"/>
      <c r="S306" s="37"/>
    </row>
    <row r="307" spans="1:19" x14ac:dyDescent="0.25">
      <c r="A307" s="37"/>
      <c r="C307" s="37"/>
      <c r="D307" s="38"/>
      <c r="E307" s="37"/>
      <c r="F307" s="38"/>
      <c r="G307" s="37"/>
      <c r="H307" s="38"/>
      <c r="I307" s="37"/>
      <c r="J307" s="38"/>
      <c r="K307" s="37"/>
      <c r="L307" s="38"/>
      <c r="M307" s="37"/>
      <c r="N307" s="38"/>
      <c r="O307" s="37"/>
      <c r="P307" s="38"/>
      <c r="Q307" s="37"/>
      <c r="R307" s="37"/>
      <c r="S307" s="37"/>
    </row>
    <row r="308" spans="1:19" x14ac:dyDescent="0.25">
      <c r="A308" s="37"/>
      <c r="C308" s="37"/>
      <c r="D308" s="38"/>
      <c r="E308" s="37"/>
      <c r="F308" s="38"/>
      <c r="G308" s="37"/>
      <c r="H308" s="38"/>
      <c r="I308" s="37"/>
      <c r="J308" s="38"/>
      <c r="K308" s="37"/>
      <c r="L308" s="38"/>
      <c r="M308" s="37"/>
      <c r="N308" s="38"/>
      <c r="O308" s="37"/>
      <c r="P308" s="38"/>
      <c r="Q308" s="37"/>
      <c r="R308" s="37"/>
      <c r="S308" s="37"/>
    </row>
    <row r="309" spans="1:19" x14ac:dyDescent="0.25">
      <c r="A309" s="37"/>
      <c r="C309" s="37"/>
      <c r="D309" s="38"/>
      <c r="E309" s="37"/>
      <c r="F309" s="38"/>
      <c r="G309" s="37"/>
      <c r="H309" s="38"/>
      <c r="I309" s="37"/>
      <c r="J309" s="38"/>
      <c r="K309" s="37"/>
      <c r="L309" s="38"/>
      <c r="M309" s="37"/>
      <c r="N309" s="38"/>
      <c r="O309" s="37"/>
      <c r="P309" s="38"/>
      <c r="Q309" s="37"/>
      <c r="R309" s="37"/>
      <c r="S309" s="37"/>
    </row>
    <row r="310" spans="1:19" x14ac:dyDescent="0.25">
      <c r="A310" s="37"/>
      <c r="C310" s="37"/>
      <c r="D310" s="38"/>
      <c r="E310" s="37"/>
      <c r="F310" s="38"/>
      <c r="G310" s="37"/>
      <c r="H310" s="38"/>
      <c r="I310" s="37"/>
      <c r="J310" s="38"/>
      <c r="K310" s="37"/>
      <c r="L310" s="38"/>
      <c r="M310" s="37"/>
      <c r="N310" s="38"/>
      <c r="O310" s="37"/>
      <c r="P310" s="38"/>
      <c r="Q310" s="37"/>
      <c r="R310" s="37"/>
      <c r="S310" s="37"/>
    </row>
    <row r="311" spans="1:19" x14ac:dyDescent="0.25">
      <c r="A311" s="37"/>
      <c r="C311" s="37"/>
      <c r="D311" s="38"/>
      <c r="E311" s="37"/>
      <c r="F311" s="38"/>
      <c r="G311" s="37"/>
      <c r="H311" s="38"/>
      <c r="I311" s="37"/>
      <c r="J311" s="38"/>
      <c r="K311" s="37"/>
      <c r="L311" s="38"/>
      <c r="M311" s="37"/>
      <c r="N311" s="38"/>
      <c r="O311" s="37"/>
      <c r="P311" s="38"/>
      <c r="Q311" s="37"/>
      <c r="R311" s="37"/>
      <c r="S311" s="37"/>
    </row>
    <row r="312" spans="1:19" x14ac:dyDescent="0.25">
      <c r="A312" s="37"/>
      <c r="C312" s="37"/>
      <c r="D312" s="38"/>
      <c r="E312" s="37"/>
      <c r="F312" s="38"/>
      <c r="G312" s="37"/>
      <c r="H312" s="38"/>
      <c r="I312" s="37"/>
      <c r="J312" s="38"/>
      <c r="K312" s="37"/>
      <c r="L312" s="38"/>
      <c r="M312" s="37"/>
      <c r="N312" s="38"/>
      <c r="O312" s="37"/>
      <c r="P312" s="38"/>
      <c r="Q312" s="37"/>
      <c r="R312" s="37"/>
      <c r="S312" s="37"/>
    </row>
    <row r="313" spans="1:19" x14ac:dyDescent="0.25">
      <c r="A313" s="37"/>
      <c r="C313" s="37"/>
      <c r="D313" s="38"/>
      <c r="E313" s="37"/>
      <c r="F313" s="38"/>
      <c r="G313" s="37"/>
      <c r="H313" s="38"/>
      <c r="I313" s="37"/>
      <c r="J313" s="38"/>
      <c r="K313" s="37"/>
      <c r="L313" s="38"/>
      <c r="M313" s="37"/>
      <c r="N313" s="38"/>
      <c r="O313" s="37"/>
      <c r="P313" s="38"/>
      <c r="Q313" s="37"/>
      <c r="R313" s="37"/>
      <c r="S313" s="37"/>
    </row>
    <row r="314" spans="1:19" x14ac:dyDescent="0.25">
      <c r="A314" s="37"/>
      <c r="C314" s="37"/>
      <c r="D314" s="38"/>
      <c r="E314" s="37"/>
      <c r="F314" s="38"/>
      <c r="G314" s="37"/>
      <c r="H314" s="38"/>
      <c r="I314" s="37"/>
      <c r="J314" s="38"/>
      <c r="K314" s="37"/>
      <c r="L314" s="38"/>
      <c r="M314" s="37"/>
      <c r="N314" s="38"/>
      <c r="O314" s="37"/>
      <c r="P314" s="38"/>
      <c r="Q314" s="37"/>
      <c r="R314" s="37"/>
      <c r="S314" s="37"/>
    </row>
    <row r="315" spans="1:19" x14ac:dyDescent="0.25">
      <c r="A315" s="37"/>
      <c r="C315" s="37"/>
      <c r="D315" s="38"/>
      <c r="E315" s="37"/>
      <c r="F315" s="38"/>
      <c r="G315" s="37"/>
      <c r="H315" s="38"/>
      <c r="I315" s="37"/>
      <c r="J315" s="38"/>
      <c r="K315" s="37"/>
      <c r="L315" s="38"/>
      <c r="M315" s="37"/>
      <c r="N315" s="38"/>
      <c r="O315" s="37"/>
      <c r="P315" s="38"/>
      <c r="Q315" s="37"/>
      <c r="R315" s="37"/>
      <c r="S315" s="37"/>
    </row>
    <row r="316" spans="1:19" x14ac:dyDescent="0.25">
      <c r="A316" s="37"/>
      <c r="C316" s="37"/>
      <c r="D316" s="38"/>
      <c r="E316" s="37"/>
      <c r="F316" s="38"/>
      <c r="G316" s="37"/>
      <c r="H316" s="38"/>
      <c r="I316" s="37"/>
      <c r="J316" s="38"/>
      <c r="K316" s="37"/>
      <c r="L316" s="38"/>
      <c r="M316" s="37"/>
      <c r="N316" s="38"/>
      <c r="O316" s="37"/>
      <c r="P316" s="38"/>
      <c r="Q316" s="37"/>
      <c r="R316" s="37"/>
      <c r="S316" s="37"/>
    </row>
    <row r="317" spans="1:19" x14ac:dyDescent="0.25">
      <c r="A317" s="37"/>
      <c r="C317" s="37"/>
      <c r="D317" s="38"/>
      <c r="E317" s="37"/>
      <c r="F317" s="38"/>
      <c r="G317" s="37"/>
      <c r="H317" s="38"/>
      <c r="I317" s="37"/>
      <c r="J317" s="38"/>
      <c r="K317" s="37"/>
      <c r="L317" s="38"/>
      <c r="M317" s="37"/>
      <c r="N317" s="38"/>
      <c r="O317" s="37"/>
      <c r="P317" s="38"/>
      <c r="Q317" s="37"/>
      <c r="R317" s="37"/>
      <c r="S317" s="37"/>
    </row>
    <row r="318" spans="1:19" x14ac:dyDescent="0.25">
      <c r="A318" s="37"/>
      <c r="C318" s="37"/>
      <c r="D318" s="38"/>
      <c r="E318" s="37"/>
      <c r="F318" s="38"/>
      <c r="G318" s="37"/>
      <c r="H318" s="38"/>
      <c r="I318" s="37"/>
      <c r="J318" s="38"/>
      <c r="K318" s="37"/>
      <c r="L318" s="38"/>
      <c r="M318" s="37"/>
      <c r="N318" s="38"/>
      <c r="O318" s="37"/>
      <c r="P318" s="38"/>
      <c r="Q318" s="37"/>
      <c r="R318" s="37"/>
      <c r="S318" s="37"/>
    </row>
    <row r="319" spans="1:19" x14ac:dyDescent="0.25">
      <c r="A319" s="37"/>
      <c r="C319" s="37"/>
      <c r="D319" s="38"/>
      <c r="E319" s="37"/>
      <c r="F319" s="38"/>
      <c r="G319" s="37"/>
      <c r="H319" s="38"/>
      <c r="I319" s="37"/>
      <c r="J319" s="38"/>
      <c r="K319" s="37"/>
      <c r="L319" s="38"/>
      <c r="M319" s="37"/>
      <c r="N319" s="38"/>
      <c r="O319" s="37"/>
      <c r="P319" s="38"/>
      <c r="Q319" s="37"/>
      <c r="R319" s="37"/>
      <c r="S319" s="37"/>
    </row>
    <row r="320" spans="1:19" x14ac:dyDescent="0.25">
      <c r="A320" s="37"/>
      <c r="C320" s="37"/>
      <c r="D320" s="38"/>
      <c r="E320" s="37"/>
      <c r="F320" s="38"/>
      <c r="G320" s="37"/>
      <c r="H320" s="38"/>
      <c r="I320" s="37"/>
      <c r="J320" s="38"/>
      <c r="K320" s="37"/>
      <c r="L320" s="38"/>
      <c r="M320" s="37"/>
      <c r="N320" s="38"/>
      <c r="O320" s="37"/>
      <c r="P320" s="38"/>
      <c r="Q320" s="37"/>
      <c r="R320" s="37"/>
      <c r="S320" s="37"/>
    </row>
    <row r="321" spans="1:19" x14ac:dyDescent="0.25">
      <c r="A321" s="37"/>
      <c r="C321" s="37"/>
      <c r="D321" s="38"/>
      <c r="E321" s="37"/>
      <c r="F321" s="38"/>
      <c r="G321" s="37"/>
      <c r="H321" s="38"/>
      <c r="I321" s="37"/>
      <c r="J321" s="38"/>
      <c r="K321" s="37"/>
      <c r="L321" s="38"/>
      <c r="M321" s="37"/>
      <c r="N321" s="38"/>
      <c r="O321" s="37"/>
      <c r="P321" s="38"/>
      <c r="Q321" s="37"/>
      <c r="R321" s="37"/>
      <c r="S321" s="37"/>
    </row>
    <row r="322" spans="1:19" x14ac:dyDescent="0.25">
      <c r="A322" s="37"/>
      <c r="C322" s="37"/>
      <c r="D322" s="38"/>
      <c r="E322" s="37"/>
      <c r="F322" s="38"/>
      <c r="G322" s="37"/>
      <c r="H322" s="38"/>
      <c r="I322" s="37"/>
      <c r="J322" s="38"/>
      <c r="K322" s="37"/>
      <c r="L322" s="38"/>
      <c r="M322" s="37"/>
      <c r="N322" s="38"/>
      <c r="O322" s="37"/>
      <c r="P322" s="38"/>
      <c r="Q322" s="37"/>
      <c r="R322" s="37"/>
      <c r="S322" s="37"/>
    </row>
    <row r="323" spans="1:19" x14ac:dyDescent="0.25">
      <c r="A323" s="37"/>
      <c r="C323" s="37"/>
      <c r="D323" s="38"/>
      <c r="E323" s="37"/>
      <c r="F323" s="38"/>
      <c r="G323" s="37"/>
      <c r="H323" s="38"/>
      <c r="I323" s="37"/>
      <c r="J323" s="38"/>
      <c r="K323" s="37"/>
      <c r="L323" s="38"/>
      <c r="M323" s="37"/>
      <c r="N323" s="38"/>
      <c r="O323" s="37"/>
      <c r="P323" s="38"/>
      <c r="Q323" s="37"/>
      <c r="R323" s="37"/>
      <c r="S323" s="37"/>
    </row>
    <row r="324" spans="1:19" x14ac:dyDescent="0.25">
      <c r="A324" s="37"/>
      <c r="C324" s="37"/>
      <c r="D324" s="38"/>
      <c r="E324" s="37"/>
      <c r="F324" s="38"/>
      <c r="G324" s="37"/>
      <c r="H324" s="38"/>
      <c r="I324" s="37"/>
      <c r="J324" s="38"/>
      <c r="K324" s="37"/>
      <c r="L324" s="38"/>
      <c r="M324" s="37"/>
      <c r="N324" s="38"/>
      <c r="O324" s="37"/>
      <c r="P324" s="38"/>
      <c r="Q324" s="37"/>
      <c r="R324" s="37"/>
      <c r="S324" s="37"/>
    </row>
    <row r="325" spans="1:19" x14ac:dyDescent="0.25">
      <c r="A325" s="37"/>
      <c r="C325" s="37"/>
      <c r="D325" s="38"/>
      <c r="E325" s="37"/>
      <c r="F325" s="38"/>
      <c r="G325" s="37"/>
      <c r="H325" s="38"/>
      <c r="I325" s="37"/>
      <c r="J325" s="38"/>
      <c r="K325" s="37"/>
      <c r="L325" s="38"/>
      <c r="M325" s="37"/>
      <c r="N325" s="38"/>
      <c r="O325" s="37"/>
      <c r="P325" s="38"/>
      <c r="Q325" s="37"/>
      <c r="R325" s="37"/>
      <c r="S325" s="37"/>
    </row>
    <row r="326" spans="1:19" x14ac:dyDescent="0.25">
      <c r="A326" s="37"/>
      <c r="C326" s="37"/>
      <c r="D326" s="38"/>
      <c r="E326" s="37"/>
      <c r="F326" s="38"/>
      <c r="G326" s="37"/>
      <c r="H326" s="38"/>
      <c r="I326" s="37"/>
      <c r="J326" s="38"/>
      <c r="K326" s="37"/>
      <c r="L326" s="38"/>
      <c r="M326" s="37"/>
      <c r="N326" s="38"/>
      <c r="O326" s="37"/>
      <c r="P326" s="38"/>
      <c r="Q326" s="37"/>
      <c r="R326" s="37"/>
      <c r="S326" s="37"/>
    </row>
    <row r="327" spans="1:19" x14ac:dyDescent="0.25">
      <c r="A327" s="37"/>
      <c r="C327" s="37"/>
      <c r="D327" s="38"/>
      <c r="E327" s="37"/>
      <c r="F327" s="38"/>
      <c r="G327" s="37"/>
      <c r="H327" s="38"/>
      <c r="I327" s="37"/>
      <c r="J327" s="38"/>
      <c r="K327" s="37"/>
      <c r="L327" s="38"/>
      <c r="M327" s="37"/>
      <c r="N327" s="38"/>
      <c r="O327" s="37"/>
      <c r="P327" s="38"/>
      <c r="Q327" s="37"/>
      <c r="R327" s="37"/>
      <c r="S327" s="37"/>
    </row>
    <row r="328" spans="1:19" x14ac:dyDescent="0.25">
      <c r="A328" s="37"/>
      <c r="C328" s="37"/>
      <c r="D328" s="38"/>
      <c r="E328" s="37"/>
      <c r="F328" s="38"/>
      <c r="G328" s="37"/>
      <c r="H328" s="38"/>
      <c r="I328" s="37"/>
      <c r="J328" s="38"/>
      <c r="K328" s="37"/>
      <c r="L328" s="38"/>
      <c r="M328" s="37"/>
      <c r="N328" s="38"/>
      <c r="O328" s="37"/>
      <c r="P328" s="38"/>
      <c r="Q328" s="37"/>
      <c r="R328" s="37"/>
      <c r="S328" s="37"/>
    </row>
    <row r="329" spans="1:19" x14ac:dyDescent="0.25">
      <c r="A329" s="37"/>
      <c r="C329" s="37"/>
      <c r="D329" s="38"/>
      <c r="E329" s="37"/>
      <c r="F329" s="38"/>
      <c r="G329" s="37"/>
      <c r="H329" s="38"/>
      <c r="I329" s="37"/>
      <c r="J329" s="38"/>
      <c r="K329" s="37"/>
      <c r="L329" s="38"/>
      <c r="M329" s="37"/>
      <c r="N329" s="38"/>
      <c r="O329" s="37"/>
      <c r="P329" s="38"/>
      <c r="Q329" s="37"/>
      <c r="R329" s="37"/>
      <c r="S329" s="37"/>
    </row>
    <row r="330" spans="1:19" x14ac:dyDescent="0.25">
      <c r="A330" s="37"/>
      <c r="C330" s="37"/>
      <c r="D330" s="38"/>
      <c r="E330" s="37"/>
      <c r="F330" s="38"/>
      <c r="G330" s="37"/>
      <c r="H330" s="38"/>
      <c r="I330" s="37"/>
      <c r="J330" s="38"/>
      <c r="K330" s="37"/>
      <c r="L330" s="38"/>
      <c r="M330" s="37"/>
      <c r="N330" s="38"/>
      <c r="O330" s="37"/>
      <c r="P330" s="38"/>
      <c r="Q330" s="37"/>
      <c r="R330" s="37"/>
      <c r="S330" s="37"/>
    </row>
    <row r="331" spans="1:19" x14ac:dyDescent="0.25">
      <c r="A331" s="37"/>
      <c r="C331" s="37"/>
      <c r="D331" s="38"/>
      <c r="E331" s="37"/>
      <c r="F331" s="38"/>
      <c r="G331" s="37"/>
      <c r="H331" s="38"/>
      <c r="I331" s="37"/>
      <c r="J331" s="38"/>
      <c r="K331" s="37"/>
      <c r="L331" s="38"/>
      <c r="M331" s="37"/>
      <c r="N331" s="38"/>
      <c r="O331" s="37"/>
      <c r="P331" s="38"/>
      <c r="Q331" s="37"/>
      <c r="R331" s="37"/>
      <c r="S331" s="37"/>
    </row>
    <row r="332" spans="1:19" x14ac:dyDescent="0.25">
      <c r="A332" s="37"/>
      <c r="C332" s="37"/>
      <c r="D332" s="38"/>
      <c r="E332" s="37"/>
      <c r="F332" s="38"/>
      <c r="G332" s="37"/>
      <c r="H332" s="38"/>
      <c r="I332" s="37"/>
      <c r="J332" s="38"/>
      <c r="K332" s="37"/>
      <c r="L332" s="38"/>
      <c r="M332" s="37"/>
      <c r="N332" s="38"/>
      <c r="O332" s="37"/>
      <c r="P332" s="38"/>
      <c r="Q332" s="37"/>
      <c r="R332" s="37"/>
      <c r="S332" s="37"/>
    </row>
    <row r="333" spans="1:19" x14ac:dyDescent="0.25">
      <c r="A333" s="37"/>
      <c r="C333" s="37"/>
      <c r="D333" s="38"/>
      <c r="E333" s="37"/>
      <c r="F333" s="38"/>
      <c r="G333" s="37"/>
      <c r="H333" s="38"/>
      <c r="I333" s="37"/>
      <c r="J333" s="38"/>
      <c r="K333" s="37"/>
      <c r="L333" s="38"/>
      <c r="M333" s="37"/>
      <c r="N333" s="38"/>
      <c r="O333" s="37"/>
      <c r="P333" s="38"/>
      <c r="Q333" s="37"/>
      <c r="R333" s="37"/>
      <c r="S333" s="37"/>
    </row>
    <row r="334" spans="1:19" x14ac:dyDescent="0.25">
      <c r="A334" s="37"/>
      <c r="C334" s="37"/>
      <c r="D334" s="38"/>
      <c r="E334" s="37"/>
      <c r="F334" s="38"/>
      <c r="G334" s="37"/>
      <c r="H334" s="38"/>
      <c r="I334" s="37"/>
      <c r="J334" s="38"/>
      <c r="K334" s="37"/>
      <c r="L334" s="38"/>
      <c r="M334" s="37"/>
      <c r="N334" s="38"/>
      <c r="O334" s="37"/>
      <c r="P334" s="38"/>
      <c r="Q334" s="37"/>
      <c r="R334" s="37"/>
      <c r="S334" s="37"/>
    </row>
    <row r="335" spans="1:19" x14ac:dyDescent="0.25">
      <c r="A335" s="37"/>
      <c r="C335" s="37"/>
      <c r="D335" s="38"/>
      <c r="E335" s="37"/>
      <c r="F335" s="38"/>
      <c r="G335" s="37"/>
      <c r="H335" s="38"/>
      <c r="I335" s="37"/>
      <c r="J335" s="38"/>
      <c r="K335" s="37"/>
      <c r="L335" s="38"/>
      <c r="M335" s="37"/>
      <c r="N335" s="38"/>
      <c r="O335" s="37"/>
      <c r="P335" s="38"/>
      <c r="Q335" s="37"/>
      <c r="R335" s="37"/>
      <c r="S335" s="37"/>
    </row>
    <row r="336" spans="1:19" x14ac:dyDescent="0.25">
      <c r="A336" s="37"/>
      <c r="C336" s="37"/>
      <c r="D336" s="38"/>
      <c r="E336" s="37"/>
      <c r="F336" s="38"/>
      <c r="G336" s="37"/>
      <c r="H336" s="38"/>
      <c r="I336" s="37"/>
      <c r="J336" s="38"/>
      <c r="K336" s="37"/>
      <c r="L336" s="38"/>
      <c r="M336" s="37"/>
      <c r="N336" s="38"/>
      <c r="O336" s="37"/>
      <c r="P336" s="38"/>
      <c r="Q336" s="37"/>
      <c r="R336" s="37"/>
      <c r="S336" s="37"/>
    </row>
    <row r="337" spans="1:19" x14ac:dyDescent="0.25">
      <c r="A337" s="37"/>
      <c r="C337" s="37"/>
      <c r="D337" s="38"/>
      <c r="E337" s="37"/>
      <c r="F337" s="38"/>
      <c r="G337" s="37"/>
      <c r="H337" s="38"/>
      <c r="I337" s="37"/>
      <c r="J337" s="38"/>
      <c r="K337" s="37"/>
      <c r="L337" s="38"/>
      <c r="M337" s="37"/>
      <c r="N337" s="38"/>
      <c r="O337" s="37"/>
      <c r="P337" s="38"/>
      <c r="Q337" s="37"/>
      <c r="R337" s="37"/>
      <c r="S337" s="37"/>
    </row>
    <row r="338" spans="1:19" x14ac:dyDescent="0.25">
      <c r="A338" s="37"/>
      <c r="C338" s="37"/>
      <c r="D338" s="38"/>
      <c r="E338" s="37"/>
      <c r="F338" s="38"/>
      <c r="G338" s="37"/>
      <c r="H338" s="38"/>
      <c r="I338" s="37"/>
      <c r="J338" s="38"/>
      <c r="K338" s="37"/>
      <c r="L338" s="38"/>
      <c r="M338" s="37"/>
      <c r="N338" s="38"/>
      <c r="O338" s="37"/>
      <c r="P338" s="38"/>
      <c r="Q338" s="37"/>
      <c r="R338" s="37"/>
      <c r="S338" s="37"/>
    </row>
    <row r="339" spans="1:19" x14ac:dyDescent="0.25">
      <c r="A339" s="37"/>
      <c r="C339" s="37"/>
      <c r="D339" s="38"/>
      <c r="E339" s="37"/>
      <c r="F339" s="38"/>
      <c r="G339" s="37"/>
      <c r="H339" s="38"/>
      <c r="I339" s="37"/>
      <c r="J339" s="38"/>
      <c r="K339" s="37"/>
      <c r="L339" s="38"/>
      <c r="M339" s="37"/>
      <c r="N339" s="38"/>
      <c r="O339" s="37"/>
      <c r="P339" s="38"/>
      <c r="Q339" s="37"/>
      <c r="R339" s="37"/>
      <c r="S339" s="37"/>
    </row>
    <row r="340" spans="1:19" x14ac:dyDescent="0.25">
      <c r="A340" s="37"/>
      <c r="C340" s="37"/>
      <c r="D340" s="38"/>
      <c r="E340" s="37"/>
      <c r="F340" s="38"/>
      <c r="G340" s="37"/>
      <c r="H340" s="38"/>
      <c r="I340" s="37"/>
      <c r="J340" s="38"/>
      <c r="K340" s="37"/>
      <c r="L340" s="38"/>
      <c r="M340" s="37"/>
      <c r="N340" s="38"/>
      <c r="O340" s="37"/>
      <c r="P340" s="38"/>
      <c r="Q340" s="37"/>
      <c r="R340" s="37"/>
      <c r="S340" s="37"/>
    </row>
    <row r="341" spans="1:19" x14ac:dyDescent="0.25">
      <c r="A341" s="37"/>
      <c r="C341" s="37"/>
      <c r="D341" s="38"/>
      <c r="E341" s="37"/>
      <c r="F341" s="38"/>
      <c r="G341" s="37"/>
      <c r="H341" s="38"/>
      <c r="I341" s="37"/>
      <c r="J341" s="38"/>
      <c r="K341" s="37"/>
      <c r="L341" s="38"/>
      <c r="M341" s="37"/>
      <c r="N341" s="38"/>
      <c r="O341" s="37"/>
      <c r="P341" s="38"/>
      <c r="Q341" s="37"/>
      <c r="R341" s="37"/>
      <c r="S341" s="37"/>
    </row>
    <row r="342" spans="1:19" x14ac:dyDescent="0.25">
      <c r="A342" s="37"/>
      <c r="C342" s="37"/>
      <c r="D342" s="38"/>
      <c r="E342" s="37"/>
      <c r="F342" s="38"/>
      <c r="G342" s="37"/>
      <c r="H342" s="38"/>
      <c r="I342" s="37"/>
      <c r="J342" s="38"/>
      <c r="K342" s="37"/>
      <c r="L342" s="38"/>
      <c r="M342" s="37"/>
      <c r="N342" s="38"/>
      <c r="O342" s="37"/>
      <c r="P342" s="38"/>
      <c r="Q342" s="37"/>
      <c r="R342" s="37"/>
      <c r="S342" s="37"/>
    </row>
    <row r="343" spans="1:19" x14ac:dyDescent="0.25">
      <c r="A343" s="37"/>
      <c r="C343" s="37"/>
      <c r="D343" s="38"/>
      <c r="E343" s="37"/>
      <c r="F343" s="38"/>
      <c r="G343" s="37"/>
      <c r="H343" s="38"/>
      <c r="I343" s="37"/>
      <c r="J343" s="38"/>
      <c r="K343" s="37"/>
      <c r="L343" s="38"/>
      <c r="M343" s="37"/>
      <c r="N343" s="38"/>
      <c r="O343" s="37"/>
      <c r="P343" s="38"/>
      <c r="Q343" s="37"/>
      <c r="R343" s="37"/>
      <c r="S343" s="37"/>
    </row>
    <row r="344" spans="1:19" x14ac:dyDescent="0.25">
      <c r="A344" s="37"/>
      <c r="C344" s="37"/>
      <c r="D344" s="38"/>
      <c r="E344" s="37"/>
      <c r="F344" s="38"/>
      <c r="G344" s="37"/>
      <c r="H344" s="38"/>
      <c r="I344" s="37"/>
      <c r="J344" s="38"/>
      <c r="K344" s="37"/>
      <c r="L344" s="38"/>
      <c r="M344" s="37"/>
      <c r="N344" s="38"/>
      <c r="O344" s="37"/>
      <c r="P344" s="38"/>
      <c r="Q344" s="37"/>
      <c r="R344" s="37"/>
      <c r="S344" s="37"/>
    </row>
    <row r="345" spans="1:19" x14ac:dyDescent="0.25">
      <c r="A345" s="37"/>
      <c r="C345" s="37"/>
      <c r="D345" s="38"/>
      <c r="E345" s="37"/>
      <c r="F345" s="38"/>
      <c r="G345" s="37"/>
      <c r="H345" s="38"/>
      <c r="I345" s="37"/>
      <c r="J345" s="38"/>
      <c r="K345" s="37"/>
      <c r="L345" s="38"/>
      <c r="M345" s="37"/>
      <c r="N345" s="38"/>
      <c r="O345" s="37"/>
      <c r="P345" s="38"/>
      <c r="Q345" s="37"/>
      <c r="R345" s="37"/>
      <c r="S345" s="37"/>
    </row>
    <row r="346" spans="1:19" x14ac:dyDescent="0.25">
      <c r="A346" s="37"/>
      <c r="C346" s="37"/>
      <c r="D346" s="38"/>
      <c r="E346" s="37"/>
      <c r="F346" s="38"/>
      <c r="G346" s="37"/>
      <c r="H346" s="38"/>
      <c r="I346" s="37"/>
      <c r="J346" s="38"/>
      <c r="K346" s="37"/>
      <c r="L346" s="38"/>
      <c r="M346" s="37"/>
      <c r="N346" s="38"/>
      <c r="O346" s="37"/>
      <c r="P346" s="38"/>
      <c r="Q346" s="37"/>
      <c r="R346" s="37"/>
      <c r="S346" s="37"/>
    </row>
    <row r="347" spans="1:19" x14ac:dyDescent="0.25">
      <c r="A347" s="37"/>
      <c r="C347" s="37"/>
      <c r="D347" s="38"/>
      <c r="E347" s="37"/>
      <c r="F347" s="38"/>
      <c r="G347" s="37"/>
      <c r="H347" s="38"/>
      <c r="I347" s="37"/>
      <c r="J347" s="38"/>
      <c r="K347" s="37"/>
      <c r="L347" s="38"/>
      <c r="M347" s="37"/>
      <c r="N347" s="38"/>
      <c r="O347" s="37"/>
      <c r="P347" s="38"/>
      <c r="Q347" s="37"/>
      <c r="R347" s="37"/>
      <c r="S347" s="37"/>
    </row>
    <row r="348" spans="1:19" x14ac:dyDescent="0.25">
      <c r="A348" s="37"/>
      <c r="C348" s="37"/>
      <c r="D348" s="38"/>
      <c r="E348" s="37"/>
      <c r="F348" s="38"/>
      <c r="G348" s="37"/>
      <c r="H348" s="38"/>
      <c r="I348" s="37"/>
      <c r="J348" s="38"/>
      <c r="K348" s="37"/>
      <c r="L348" s="38"/>
      <c r="M348" s="37"/>
      <c r="N348" s="38"/>
      <c r="O348" s="37"/>
      <c r="P348" s="38"/>
      <c r="Q348" s="37"/>
      <c r="R348" s="37"/>
      <c r="S348" s="37"/>
    </row>
    <row r="349" spans="1:19" x14ac:dyDescent="0.25">
      <c r="A349" s="37"/>
      <c r="C349" s="37"/>
      <c r="D349" s="38"/>
      <c r="E349" s="37"/>
      <c r="F349" s="38"/>
      <c r="G349" s="37"/>
      <c r="H349" s="38"/>
      <c r="I349" s="37"/>
      <c r="J349" s="38"/>
      <c r="K349" s="37"/>
      <c r="L349" s="38"/>
      <c r="M349" s="37"/>
      <c r="N349" s="38"/>
      <c r="O349" s="37"/>
      <c r="P349" s="38"/>
      <c r="Q349" s="37"/>
      <c r="R349" s="37"/>
      <c r="S349" s="37"/>
    </row>
    <row r="350" spans="1:19" x14ac:dyDescent="0.25">
      <c r="A350" s="37"/>
      <c r="C350" s="37"/>
      <c r="D350" s="38"/>
      <c r="E350" s="37"/>
      <c r="F350" s="38"/>
      <c r="G350" s="37"/>
      <c r="H350" s="38"/>
      <c r="I350" s="37"/>
      <c r="J350" s="38"/>
      <c r="K350" s="37"/>
      <c r="L350" s="38"/>
      <c r="M350" s="37"/>
      <c r="N350" s="38"/>
      <c r="O350" s="37"/>
      <c r="P350" s="38"/>
      <c r="Q350" s="37"/>
      <c r="R350" s="37"/>
      <c r="S350" s="37"/>
    </row>
    <row r="351" spans="1:19" x14ac:dyDescent="0.25">
      <c r="A351" s="37"/>
      <c r="C351" s="37"/>
      <c r="D351" s="38"/>
      <c r="E351" s="37"/>
      <c r="F351" s="38"/>
      <c r="G351" s="37"/>
      <c r="H351" s="38"/>
      <c r="I351" s="37"/>
      <c r="J351" s="38"/>
      <c r="K351" s="37"/>
      <c r="L351" s="38"/>
      <c r="M351" s="37"/>
      <c r="N351" s="38"/>
      <c r="O351" s="37"/>
      <c r="P351" s="38"/>
      <c r="Q351" s="37"/>
      <c r="R351" s="37"/>
      <c r="S351" s="37"/>
    </row>
    <row r="352" spans="1:19" x14ac:dyDescent="0.25">
      <c r="A352" s="37"/>
      <c r="C352" s="37"/>
      <c r="D352" s="38"/>
      <c r="E352" s="37"/>
      <c r="F352" s="38"/>
      <c r="G352" s="37"/>
      <c r="H352" s="38"/>
      <c r="I352" s="37"/>
      <c r="J352" s="38"/>
      <c r="K352" s="37"/>
      <c r="L352" s="38"/>
      <c r="M352" s="37"/>
      <c r="N352" s="38"/>
      <c r="O352" s="37"/>
      <c r="P352" s="38"/>
      <c r="Q352" s="37"/>
      <c r="R352" s="37"/>
      <c r="S352" s="37"/>
    </row>
    <row r="353" spans="1:19" x14ac:dyDescent="0.25">
      <c r="A353" s="37"/>
      <c r="C353" s="37"/>
      <c r="D353" s="38"/>
      <c r="E353" s="37"/>
      <c r="F353" s="38"/>
      <c r="G353" s="37"/>
      <c r="H353" s="38"/>
      <c r="I353" s="37"/>
      <c r="J353" s="38"/>
      <c r="K353" s="37"/>
      <c r="L353" s="38"/>
      <c r="M353" s="37"/>
      <c r="N353" s="38"/>
      <c r="O353" s="37"/>
      <c r="P353" s="38"/>
      <c r="Q353" s="37"/>
      <c r="R353" s="37"/>
      <c r="S353" s="37"/>
    </row>
    <row r="354" spans="1:19" x14ac:dyDescent="0.25">
      <c r="A354" s="37"/>
      <c r="C354" s="37"/>
      <c r="D354" s="38"/>
      <c r="E354" s="37"/>
      <c r="F354" s="38"/>
      <c r="G354" s="37"/>
      <c r="H354" s="38"/>
      <c r="I354" s="37"/>
      <c r="J354" s="38"/>
      <c r="K354" s="37"/>
      <c r="L354" s="38"/>
      <c r="M354" s="37"/>
      <c r="N354" s="38"/>
      <c r="O354" s="37"/>
      <c r="P354" s="38"/>
      <c r="Q354" s="37"/>
      <c r="R354" s="37"/>
      <c r="S354" s="37"/>
    </row>
    <row r="355" spans="1:19" x14ac:dyDescent="0.25">
      <c r="A355" s="37"/>
      <c r="C355" s="37"/>
      <c r="D355" s="38"/>
      <c r="E355" s="37"/>
      <c r="F355" s="38"/>
      <c r="G355" s="37"/>
      <c r="H355" s="38"/>
      <c r="I355" s="37"/>
      <c r="J355" s="38"/>
      <c r="K355" s="37"/>
      <c r="L355" s="38"/>
      <c r="M355" s="37"/>
      <c r="N355" s="38"/>
      <c r="O355" s="37"/>
      <c r="P355" s="38"/>
      <c r="Q355" s="37"/>
      <c r="R355" s="37"/>
      <c r="S355" s="37"/>
    </row>
    <row r="356" spans="1:19" x14ac:dyDescent="0.25">
      <c r="A356" s="37"/>
      <c r="C356" s="37"/>
      <c r="D356" s="38"/>
      <c r="E356" s="37"/>
      <c r="F356" s="38"/>
      <c r="G356" s="37"/>
      <c r="H356" s="38"/>
      <c r="I356" s="37"/>
      <c r="J356" s="38"/>
      <c r="K356" s="37"/>
      <c r="L356" s="38"/>
      <c r="M356" s="37"/>
      <c r="N356" s="38"/>
      <c r="O356" s="37"/>
      <c r="P356" s="38"/>
      <c r="Q356" s="37"/>
      <c r="R356" s="37"/>
      <c r="S356" s="37"/>
    </row>
    <row r="357" spans="1:19" x14ac:dyDescent="0.25">
      <c r="A357" s="37"/>
      <c r="C357" s="37"/>
      <c r="D357" s="38"/>
      <c r="E357" s="37"/>
      <c r="F357" s="38"/>
      <c r="G357" s="37"/>
      <c r="H357" s="38"/>
      <c r="I357" s="37"/>
      <c r="J357" s="38"/>
      <c r="K357" s="37"/>
      <c r="L357" s="38"/>
      <c r="M357" s="37"/>
      <c r="N357" s="38"/>
      <c r="O357" s="37"/>
      <c r="P357" s="38"/>
      <c r="Q357" s="37"/>
      <c r="R357" s="37"/>
      <c r="S357" s="37"/>
    </row>
    <row r="358" spans="1:19" x14ac:dyDescent="0.25">
      <c r="A358" s="37"/>
      <c r="C358" s="37"/>
      <c r="D358" s="38"/>
      <c r="E358" s="37"/>
      <c r="F358" s="38"/>
      <c r="G358" s="37"/>
      <c r="H358" s="38"/>
      <c r="I358" s="37"/>
      <c r="J358" s="38"/>
      <c r="K358" s="37"/>
      <c r="L358" s="38"/>
      <c r="M358" s="37"/>
      <c r="N358" s="38"/>
      <c r="O358" s="37"/>
      <c r="P358" s="38"/>
      <c r="Q358" s="37"/>
      <c r="R358" s="37"/>
      <c r="S358" s="37"/>
    </row>
    <row r="359" spans="1:19" x14ac:dyDescent="0.25">
      <c r="A359" s="37"/>
      <c r="C359" s="37"/>
      <c r="D359" s="38"/>
      <c r="E359" s="37"/>
      <c r="F359" s="38"/>
      <c r="G359" s="37"/>
      <c r="H359" s="38"/>
      <c r="I359" s="37"/>
      <c r="J359" s="38"/>
      <c r="K359" s="37"/>
      <c r="L359" s="38"/>
      <c r="M359" s="37"/>
      <c r="N359" s="38"/>
      <c r="O359" s="37"/>
      <c r="P359" s="38"/>
      <c r="Q359" s="37"/>
      <c r="R359" s="37"/>
      <c r="S359" s="37"/>
    </row>
    <row r="360" spans="1:19" x14ac:dyDescent="0.25">
      <c r="A360" s="37"/>
      <c r="C360" s="37"/>
      <c r="D360" s="38"/>
      <c r="E360" s="37"/>
      <c r="F360" s="38"/>
      <c r="G360" s="37"/>
      <c r="H360" s="38"/>
      <c r="I360" s="37"/>
      <c r="J360" s="38"/>
      <c r="K360" s="37"/>
      <c r="L360" s="38"/>
      <c r="M360" s="37"/>
      <c r="N360" s="38"/>
      <c r="O360" s="37"/>
      <c r="P360" s="38"/>
      <c r="Q360" s="37"/>
      <c r="R360" s="37"/>
      <c r="S360" s="37"/>
    </row>
    <row r="361" spans="1:19" x14ac:dyDescent="0.25">
      <c r="A361" s="37"/>
      <c r="C361" s="37"/>
      <c r="D361" s="38"/>
      <c r="E361" s="37"/>
      <c r="F361" s="38"/>
      <c r="G361" s="37"/>
      <c r="H361" s="38"/>
      <c r="I361" s="37"/>
      <c r="J361" s="38"/>
      <c r="K361" s="37"/>
      <c r="L361" s="38"/>
      <c r="M361" s="37"/>
      <c r="N361" s="38"/>
      <c r="O361" s="37"/>
      <c r="P361" s="38"/>
      <c r="Q361" s="37"/>
      <c r="R361" s="37"/>
      <c r="S361" s="37"/>
    </row>
    <row r="362" spans="1:19" x14ac:dyDescent="0.25">
      <c r="A362" s="37"/>
      <c r="C362" s="37"/>
      <c r="D362" s="38"/>
      <c r="E362" s="37"/>
      <c r="F362" s="38"/>
      <c r="G362" s="37"/>
      <c r="H362" s="38"/>
      <c r="I362" s="37"/>
      <c r="J362" s="38"/>
      <c r="K362" s="37"/>
      <c r="L362" s="38"/>
      <c r="M362" s="37"/>
      <c r="N362" s="38"/>
      <c r="O362" s="37"/>
      <c r="P362" s="38"/>
      <c r="Q362" s="37"/>
      <c r="R362" s="37"/>
      <c r="S362" s="37"/>
    </row>
    <row r="363" spans="1:19" x14ac:dyDescent="0.25">
      <c r="A363" s="37"/>
      <c r="C363" s="37"/>
      <c r="D363" s="38"/>
      <c r="E363" s="37"/>
      <c r="F363" s="38"/>
      <c r="G363" s="37"/>
      <c r="H363" s="38"/>
      <c r="I363" s="37"/>
      <c r="J363" s="38"/>
      <c r="K363" s="37"/>
      <c r="L363" s="38"/>
      <c r="M363" s="37"/>
      <c r="N363" s="38"/>
      <c r="O363" s="37"/>
      <c r="P363" s="38"/>
      <c r="Q363" s="37"/>
      <c r="R363" s="37"/>
      <c r="S363" s="37"/>
    </row>
    <row r="364" spans="1:19" x14ac:dyDescent="0.25">
      <c r="A364" s="37"/>
      <c r="C364" s="37"/>
      <c r="D364" s="38"/>
      <c r="E364" s="37"/>
      <c r="F364" s="38"/>
      <c r="G364" s="37"/>
      <c r="H364" s="38"/>
      <c r="I364" s="37"/>
      <c r="J364" s="38"/>
      <c r="K364" s="37"/>
      <c r="L364" s="38"/>
      <c r="M364" s="37"/>
      <c r="N364" s="38"/>
      <c r="O364" s="37"/>
      <c r="P364" s="38"/>
      <c r="Q364" s="37"/>
      <c r="R364" s="37"/>
      <c r="S364" s="37"/>
    </row>
    <row r="365" spans="1:19" x14ac:dyDescent="0.25">
      <c r="A365" s="37"/>
      <c r="C365" s="37"/>
      <c r="D365" s="38"/>
      <c r="E365" s="37"/>
      <c r="F365" s="38"/>
      <c r="G365" s="37"/>
      <c r="H365" s="38"/>
      <c r="I365" s="37"/>
      <c r="J365" s="38"/>
      <c r="K365" s="37"/>
      <c r="L365" s="38"/>
      <c r="M365" s="37"/>
      <c r="N365" s="38"/>
      <c r="O365" s="37"/>
      <c r="P365" s="38"/>
      <c r="Q365" s="37"/>
      <c r="R365" s="37"/>
      <c r="S365" s="37"/>
    </row>
    <row r="366" spans="1:19" x14ac:dyDescent="0.25">
      <c r="A366" s="37"/>
      <c r="C366" s="37"/>
      <c r="D366" s="38"/>
      <c r="E366" s="37"/>
      <c r="F366" s="38"/>
      <c r="G366" s="37"/>
      <c r="H366" s="38"/>
      <c r="I366" s="37"/>
      <c r="J366" s="38"/>
      <c r="K366" s="37"/>
      <c r="L366" s="38"/>
      <c r="M366" s="37"/>
      <c r="N366" s="38"/>
      <c r="O366" s="37"/>
      <c r="P366" s="38"/>
      <c r="Q366" s="37"/>
      <c r="R366" s="37"/>
      <c r="S366" s="37"/>
    </row>
    <row r="367" spans="1:19" x14ac:dyDescent="0.25">
      <c r="A367" s="37"/>
      <c r="C367" s="37"/>
      <c r="D367" s="38"/>
      <c r="E367" s="37"/>
      <c r="F367" s="38"/>
      <c r="G367" s="37"/>
      <c r="H367" s="38"/>
      <c r="I367" s="37"/>
      <c r="J367" s="38"/>
      <c r="K367" s="37"/>
      <c r="L367" s="38"/>
      <c r="M367" s="37"/>
      <c r="N367" s="38"/>
      <c r="O367" s="37"/>
      <c r="P367" s="38"/>
      <c r="Q367" s="37"/>
      <c r="R367" s="37"/>
      <c r="S367" s="37"/>
    </row>
    <row r="368" spans="1:19" x14ac:dyDescent="0.25">
      <c r="A368" s="37"/>
      <c r="C368" s="37"/>
      <c r="D368" s="38"/>
      <c r="E368" s="37"/>
      <c r="F368" s="38"/>
      <c r="G368" s="37"/>
      <c r="H368" s="38"/>
      <c r="I368" s="37"/>
      <c r="J368" s="38"/>
      <c r="K368" s="37"/>
      <c r="L368" s="38"/>
      <c r="M368" s="37"/>
      <c r="N368" s="38"/>
      <c r="O368" s="37"/>
      <c r="P368" s="38"/>
      <c r="Q368" s="37"/>
      <c r="R368" s="37"/>
      <c r="S368" s="37"/>
    </row>
    <row r="369" spans="1:19" x14ac:dyDescent="0.25">
      <c r="A369" s="37"/>
      <c r="C369" s="37"/>
      <c r="D369" s="38"/>
      <c r="E369" s="37"/>
      <c r="F369" s="38"/>
      <c r="G369" s="37"/>
      <c r="H369" s="38"/>
      <c r="I369" s="37"/>
      <c r="J369" s="38"/>
      <c r="K369" s="37"/>
      <c r="L369" s="38"/>
      <c r="M369" s="37"/>
      <c r="N369" s="38"/>
      <c r="O369" s="37"/>
      <c r="P369" s="38"/>
      <c r="Q369" s="37"/>
      <c r="R369" s="37"/>
      <c r="S369" s="37"/>
    </row>
    <row r="370" spans="1:19" x14ac:dyDescent="0.25">
      <c r="A370" s="37"/>
      <c r="C370" s="37"/>
      <c r="D370" s="38"/>
      <c r="E370" s="37"/>
      <c r="F370" s="38"/>
      <c r="G370" s="37"/>
      <c r="H370" s="38"/>
      <c r="I370" s="37"/>
      <c r="J370" s="38"/>
      <c r="K370" s="37"/>
      <c r="L370" s="38"/>
      <c r="M370" s="37"/>
      <c r="N370" s="38"/>
      <c r="O370" s="37"/>
      <c r="P370" s="38"/>
      <c r="Q370" s="37"/>
      <c r="R370" s="37"/>
      <c r="S370" s="37"/>
    </row>
    <row r="371" spans="1:19" x14ac:dyDescent="0.25">
      <c r="A371" s="37"/>
      <c r="C371" s="37"/>
      <c r="D371" s="38"/>
      <c r="E371" s="37"/>
      <c r="F371" s="38"/>
      <c r="G371" s="37"/>
      <c r="H371" s="38"/>
      <c r="I371" s="37"/>
      <c r="J371" s="38"/>
      <c r="K371" s="37"/>
      <c r="L371" s="38"/>
      <c r="M371" s="37"/>
      <c r="N371" s="38"/>
      <c r="O371" s="37"/>
      <c r="P371" s="38"/>
      <c r="Q371" s="37"/>
      <c r="R371" s="37"/>
      <c r="S371" s="37"/>
    </row>
    <row r="372" spans="1:19" x14ac:dyDescent="0.25">
      <c r="A372" s="37"/>
      <c r="C372" s="37"/>
      <c r="D372" s="38"/>
      <c r="E372" s="37"/>
      <c r="F372" s="38"/>
      <c r="G372" s="37"/>
      <c r="H372" s="38"/>
      <c r="I372" s="37"/>
      <c r="J372" s="38"/>
      <c r="K372" s="37"/>
      <c r="L372" s="38"/>
      <c r="M372" s="37"/>
      <c r="N372" s="38"/>
      <c r="O372" s="37"/>
      <c r="P372" s="38"/>
      <c r="Q372" s="37"/>
      <c r="R372" s="37"/>
      <c r="S372" s="37"/>
    </row>
    <row r="373" spans="1:19" x14ac:dyDescent="0.25">
      <c r="A373" s="37"/>
      <c r="C373" s="37"/>
      <c r="D373" s="38"/>
      <c r="E373" s="37"/>
      <c r="F373" s="38"/>
      <c r="G373" s="37"/>
      <c r="H373" s="38"/>
      <c r="I373" s="37"/>
      <c r="J373" s="38"/>
      <c r="K373" s="37"/>
      <c r="L373" s="38"/>
      <c r="M373" s="37"/>
      <c r="N373" s="38"/>
      <c r="O373" s="37"/>
      <c r="P373" s="38"/>
      <c r="Q373" s="37"/>
      <c r="R373" s="37"/>
      <c r="S373" s="37"/>
    </row>
    <row r="374" spans="1:19" x14ac:dyDescent="0.25">
      <c r="A374" s="37"/>
      <c r="C374" s="37"/>
      <c r="D374" s="38"/>
      <c r="E374" s="37"/>
      <c r="F374" s="38"/>
      <c r="G374" s="37"/>
      <c r="H374" s="38"/>
      <c r="I374" s="37"/>
      <c r="J374" s="38"/>
      <c r="K374" s="37"/>
      <c r="L374" s="38"/>
      <c r="M374" s="37"/>
      <c r="N374" s="38"/>
      <c r="O374" s="37"/>
      <c r="P374" s="38"/>
      <c r="Q374" s="37"/>
      <c r="R374" s="37"/>
      <c r="S374" s="37"/>
    </row>
    <row r="375" spans="1:19" x14ac:dyDescent="0.25">
      <c r="A375" s="37"/>
      <c r="C375" s="37"/>
      <c r="D375" s="38"/>
      <c r="E375" s="37"/>
      <c r="F375" s="38"/>
      <c r="G375" s="37"/>
      <c r="H375" s="38"/>
      <c r="I375" s="37"/>
      <c r="J375" s="38"/>
      <c r="K375" s="37"/>
      <c r="L375" s="38"/>
      <c r="M375" s="37"/>
      <c r="N375" s="38"/>
      <c r="O375" s="37"/>
      <c r="P375" s="38"/>
      <c r="Q375" s="37"/>
      <c r="R375" s="37"/>
      <c r="S375" s="37"/>
    </row>
    <row r="376" spans="1:19" x14ac:dyDescent="0.25">
      <c r="A376" s="37"/>
      <c r="C376" s="37"/>
      <c r="D376" s="38"/>
      <c r="E376" s="37"/>
      <c r="F376" s="38"/>
      <c r="G376" s="37"/>
      <c r="H376" s="38"/>
      <c r="I376" s="37"/>
      <c r="J376" s="38"/>
      <c r="K376" s="37"/>
      <c r="L376" s="38"/>
      <c r="M376" s="37"/>
      <c r="N376" s="38"/>
      <c r="O376" s="37"/>
      <c r="P376" s="38"/>
      <c r="Q376" s="37"/>
      <c r="R376" s="37"/>
      <c r="S376" s="37"/>
    </row>
    <row r="377" spans="1:19" x14ac:dyDescent="0.25">
      <c r="A377" s="37"/>
      <c r="C377" s="37"/>
      <c r="D377" s="38"/>
      <c r="E377" s="37"/>
      <c r="F377" s="38"/>
      <c r="G377" s="37"/>
      <c r="H377" s="38"/>
      <c r="I377" s="37"/>
      <c r="J377" s="38"/>
      <c r="K377" s="37"/>
      <c r="L377" s="38"/>
      <c r="M377" s="37"/>
      <c r="N377" s="38"/>
      <c r="O377" s="37"/>
      <c r="P377" s="38"/>
      <c r="Q377" s="37"/>
      <c r="R377" s="37"/>
      <c r="S377" s="37"/>
    </row>
    <row r="378" spans="1:19" x14ac:dyDescent="0.25">
      <c r="A378" s="37"/>
      <c r="C378" s="37"/>
      <c r="D378" s="38"/>
      <c r="E378" s="37"/>
      <c r="F378" s="38"/>
      <c r="G378" s="37"/>
      <c r="H378" s="38"/>
      <c r="I378" s="37"/>
      <c r="J378" s="38"/>
      <c r="K378" s="37"/>
      <c r="L378" s="38"/>
      <c r="M378" s="37"/>
      <c r="N378" s="38"/>
      <c r="O378" s="37"/>
      <c r="P378" s="38"/>
      <c r="Q378" s="37"/>
      <c r="R378" s="37"/>
      <c r="S378" s="37"/>
    </row>
    <row r="379" spans="1:19" x14ac:dyDescent="0.25">
      <c r="A379" s="37"/>
      <c r="C379" s="37"/>
      <c r="D379" s="38"/>
      <c r="E379" s="37"/>
      <c r="F379" s="38"/>
      <c r="G379" s="37"/>
      <c r="H379" s="38"/>
      <c r="I379" s="37"/>
      <c r="J379" s="38"/>
      <c r="K379" s="37"/>
      <c r="L379" s="38"/>
      <c r="M379" s="37"/>
      <c r="N379" s="38"/>
      <c r="O379" s="37"/>
      <c r="P379" s="38"/>
      <c r="Q379" s="37"/>
      <c r="R379" s="37"/>
      <c r="S379" s="37"/>
    </row>
    <row r="380" spans="1:19" x14ac:dyDescent="0.25">
      <c r="A380" s="37"/>
      <c r="C380" s="37"/>
      <c r="D380" s="38"/>
      <c r="E380" s="37"/>
      <c r="F380" s="38"/>
      <c r="G380" s="37"/>
      <c r="H380" s="38"/>
      <c r="I380" s="37"/>
      <c r="J380" s="38"/>
      <c r="K380" s="37"/>
      <c r="L380" s="38"/>
      <c r="M380" s="37"/>
      <c r="N380" s="38"/>
      <c r="O380" s="37"/>
      <c r="P380" s="38"/>
      <c r="Q380" s="37"/>
      <c r="R380" s="37"/>
      <c r="S380" s="37"/>
    </row>
    <row r="381" spans="1:19" x14ac:dyDescent="0.25">
      <c r="A381" s="37"/>
      <c r="C381" s="37"/>
      <c r="D381" s="38"/>
      <c r="E381" s="37"/>
      <c r="F381" s="38"/>
      <c r="G381" s="37"/>
      <c r="H381" s="38"/>
      <c r="I381" s="37"/>
      <c r="J381" s="38"/>
      <c r="K381" s="37"/>
      <c r="L381" s="38"/>
      <c r="M381" s="37"/>
      <c r="N381" s="38"/>
      <c r="O381" s="37"/>
      <c r="P381" s="38"/>
      <c r="Q381" s="37"/>
      <c r="R381" s="37"/>
      <c r="S381" s="37"/>
    </row>
    <row r="382" spans="1:19" x14ac:dyDescent="0.25">
      <c r="A382" s="37"/>
      <c r="C382" s="37"/>
      <c r="D382" s="38"/>
      <c r="E382" s="37"/>
      <c r="F382" s="38"/>
      <c r="G382" s="37"/>
      <c r="H382" s="38"/>
      <c r="I382" s="37"/>
      <c r="J382" s="38"/>
      <c r="K382" s="37"/>
      <c r="L382" s="38"/>
      <c r="M382" s="37"/>
      <c r="N382" s="38"/>
      <c r="O382" s="37"/>
      <c r="P382" s="38"/>
      <c r="Q382" s="37"/>
      <c r="R382" s="37"/>
      <c r="S382" s="37"/>
    </row>
    <row r="383" spans="1:19" x14ac:dyDescent="0.25">
      <c r="A383" s="37"/>
      <c r="C383" s="37"/>
      <c r="D383" s="38"/>
      <c r="E383" s="37"/>
      <c r="F383" s="38"/>
      <c r="G383" s="37"/>
      <c r="H383" s="38"/>
      <c r="I383" s="37"/>
      <c r="J383" s="38"/>
      <c r="K383" s="37"/>
      <c r="L383" s="38"/>
      <c r="M383" s="37"/>
      <c r="N383" s="38"/>
      <c r="O383" s="37"/>
      <c r="P383" s="38"/>
      <c r="Q383" s="37"/>
      <c r="R383" s="37"/>
      <c r="S383" s="37"/>
    </row>
    <row r="384" spans="1:19" x14ac:dyDescent="0.25">
      <c r="A384" s="37"/>
      <c r="C384" s="37"/>
      <c r="D384" s="38"/>
      <c r="E384" s="37"/>
      <c r="F384" s="38"/>
      <c r="G384" s="37"/>
      <c r="H384" s="38"/>
      <c r="I384" s="37"/>
      <c r="J384" s="38"/>
      <c r="K384" s="37"/>
      <c r="L384" s="38"/>
      <c r="M384" s="37"/>
      <c r="N384" s="38"/>
      <c r="O384" s="37"/>
      <c r="P384" s="38"/>
      <c r="Q384" s="37"/>
      <c r="R384" s="37"/>
      <c r="S384" s="37"/>
    </row>
    <row r="385" spans="1:19" x14ac:dyDescent="0.25">
      <c r="A385" s="37"/>
      <c r="C385" s="37"/>
      <c r="D385" s="38"/>
      <c r="E385" s="37"/>
      <c r="F385" s="38"/>
      <c r="G385" s="37"/>
      <c r="H385" s="38"/>
      <c r="I385" s="37"/>
      <c r="J385" s="38"/>
      <c r="K385" s="37"/>
      <c r="L385" s="38"/>
      <c r="M385" s="37"/>
      <c r="N385" s="38"/>
      <c r="O385" s="37"/>
      <c r="P385" s="38"/>
      <c r="Q385" s="37"/>
      <c r="R385" s="37"/>
      <c r="S385" s="37"/>
    </row>
    <row r="386" spans="1:19" x14ac:dyDescent="0.25">
      <c r="A386" s="37"/>
      <c r="C386" s="37"/>
      <c r="D386" s="38"/>
      <c r="E386" s="37"/>
      <c r="F386" s="38"/>
      <c r="G386" s="37"/>
      <c r="H386" s="38"/>
      <c r="I386" s="37"/>
      <c r="J386" s="38"/>
      <c r="K386" s="37"/>
      <c r="L386" s="38"/>
      <c r="M386" s="37"/>
      <c r="N386" s="38"/>
      <c r="O386" s="37"/>
      <c r="P386" s="38"/>
      <c r="Q386" s="37"/>
      <c r="R386" s="37"/>
      <c r="S386" s="37"/>
    </row>
    <row r="387" spans="1:19" x14ac:dyDescent="0.25">
      <c r="A387" s="37"/>
      <c r="C387" s="37"/>
      <c r="D387" s="38"/>
      <c r="E387" s="37"/>
      <c r="F387" s="38"/>
      <c r="G387" s="37"/>
      <c r="H387" s="38"/>
      <c r="I387" s="37"/>
      <c r="J387" s="38"/>
      <c r="K387" s="37"/>
      <c r="L387" s="38"/>
      <c r="M387" s="37"/>
      <c r="N387" s="38"/>
      <c r="O387" s="37"/>
      <c r="P387" s="38"/>
      <c r="Q387" s="37"/>
      <c r="R387" s="37"/>
      <c r="S387" s="37"/>
    </row>
    <row r="388" spans="1:19" x14ac:dyDescent="0.25">
      <c r="A388" s="37"/>
      <c r="C388" s="37"/>
      <c r="D388" s="38"/>
      <c r="E388" s="37"/>
      <c r="F388" s="38"/>
      <c r="G388" s="37"/>
      <c r="H388" s="38"/>
      <c r="I388" s="37"/>
      <c r="J388" s="38"/>
      <c r="K388" s="37"/>
      <c r="L388" s="38"/>
      <c r="M388" s="37"/>
      <c r="N388" s="38"/>
      <c r="O388" s="37"/>
      <c r="P388" s="38"/>
      <c r="Q388" s="37"/>
      <c r="R388" s="37"/>
      <c r="S388" s="37"/>
    </row>
    <row r="389" spans="1:19" x14ac:dyDescent="0.25">
      <c r="A389" s="37"/>
      <c r="C389" s="37"/>
      <c r="D389" s="38"/>
      <c r="E389" s="37"/>
      <c r="F389" s="38"/>
      <c r="G389" s="37"/>
      <c r="H389" s="38"/>
      <c r="I389" s="37"/>
      <c r="J389" s="38"/>
      <c r="K389" s="37"/>
      <c r="L389" s="38"/>
      <c r="M389" s="37"/>
      <c r="N389" s="38"/>
      <c r="O389" s="37"/>
      <c r="P389" s="38"/>
      <c r="Q389" s="37"/>
      <c r="R389" s="37"/>
      <c r="S389" s="37"/>
    </row>
    <row r="390" spans="1:19" x14ac:dyDescent="0.25">
      <c r="A390" s="37"/>
      <c r="C390" s="37"/>
      <c r="D390" s="38"/>
      <c r="E390" s="37"/>
      <c r="F390" s="38"/>
      <c r="G390" s="37"/>
      <c r="H390" s="38"/>
      <c r="I390" s="37"/>
      <c r="J390" s="38"/>
      <c r="K390" s="37"/>
      <c r="L390" s="38"/>
      <c r="M390" s="37"/>
      <c r="N390" s="38"/>
      <c r="O390" s="37"/>
      <c r="P390" s="38"/>
      <c r="Q390" s="37"/>
      <c r="R390" s="37"/>
      <c r="S390" s="37"/>
    </row>
    <row r="391" spans="1:19" x14ac:dyDescent="0.25">
      <c r="A391" s="37"/>
      <c r="C391" s="37"/>
      <c r="D391" s="38"/>
      <c r="E391" s="37"/>
      <c r="F391" s="38"/>
      <c r="G391" s="37"/>
      <c r="H391" s="38"/>
      <c r="I391" s="37"/>
      <c r="J391" s="38"/>
      <c r="K391" s="37"/>
      <c r="L391" s="38"/>
      <c r="M391" s="37"/>
      <c r="N391" s="38"/>
      <c r="O391" s="37"/>
      <c r="P391" s="38"/>
      <c r="Q391" s="37"/>
      <c r="R391" s="37"/>
      <c r="S391" s="37"/>
    </row>
    <row r="392" spans="1:19" x14ac:dyDescent="0.25">
      <c r="A392" s="37"/>
      <c r="C392" s="37"/>
      <c r="D392" s="38"/>
      <c r="E392" s="37"/>
      <c r="F392" s="38"/>
      <c r="G392" s="37"/>
      <c r="H392" s="38"/>
      <c r="I392" s="37"/>
      <c r="J392" s="38"/>
      <c r="K392" s="37"/>
      <c r="L392" s="38"/>
      <c r="M392" s="37"/>
      <c r="N392" s="38"/>
      <c r="O392" s="37"/>
      <c r="P392" s="38"/>
      <c r="Q392" s="37"/>
      <c r="R392" s="37"/>
      <c r="S392" s="37"/>
    </row>
    <row r="393" spans="1:19" x14ac:dyDescent="0.25">
      <c r="A393" s="37"/>
      <c r="C393" s="37"/>
      <c r="D393" s="38"/>
      <c r="E393" s="37"/>
      <c r="F393" s="38"/>
      <c r="G393" s="37"/>
      <c r="H393" s="38"/>
      <c r="I393" s="37"/>
      <c r="J393" s="38"/>
      <c r="K393" s="37"/>
      <c r="L393" s="38"/>
      <c r="M393" s="37"/>
      <c r="N393" s="38"/>
      <c r="O393" s="37"/>
      <c r="P393" s="38"/>
      <c r="Q393" s="37"/>
      <c r="R393" s="37"/>
      <c r="S393" s="37"/>
    </row>
    <row r="394" spans="1:19" x14ac:dyDescent="0.25">
      <c r="A394" s="37"/>
      <c r="C394" s="37"/>
      <c r="D394" s="38"/>
      <c r="E394" s="37"/>
      <c r="F394" s="38"/>
      <c r="G394" s="37"/>
      <c r="H394" s="38"/>
      <c r="I394" s="37"/>
      <c r="J394" s="38"/>
      <c r="K394" s="37"/>
      <c r="L394" s="38"/>
      <c r="M394" s="37"/>
      <c r="N394" s="38"/>
      <c r="O394" s="37"/>
      <c r="P394" s="38"/>
      <c r="Q394" s="37"/>
      <c r="R394" s="37"/>
      <c r="S394" s="37"/>
    </row>
    <row r="395" spans="1:19" x14ac:dyDescent="0.25">
      <c r="A395" s="37"/>
      <c r="C395" s="37"/>
      <c r="D395" s="38"/>
      <c r="E395" s="37"/>
      <c r="F395" s="38"/>
      <c r="G395" s="37"/>
      <c r="H395" s="38"/>
      <c r="I395" s="37"/>
      <c r="J395" s="38"/>
      <c r="K395" s="37"/>
      <c r="L395" s="38"/>
      <c r="M395" s="37"/>
      <c r="N395" s="38"/>
      <c r="O395" s="37"/>
      <c r="P395" s="38"/>
      <c r="Q395" s="37"/>
      <c r="R395" s="37"/>
      <c r="S395" s="37"/>
    </row>
    <row r="396" spans="1:19" x14ac:dyDescent="0.25">
      <c r="A396" s="37"/>
      <c r="C396" s="37"/>
      <c r="D396" s="38"/>
      <c r="E396" s="37"/>
      <c r="F396" s="38"/>
      <c r="G396" s="37"/>
      <c r="H396" s="38"/>
      <c r="I396" s="37"/>
      <c r="J396" s="38"/>
      <c r="K396" s="37"/>
      <c r="L396" s="38"/>
      <c r="M396" s="37"/>
      <c r="N396" s="38"/>
      <c r="O396" s="37"/>
      <c r="P396" s="38"/>
      <c r="Q396" s="37"/>
      <c r="R396" s="37"/>
      <c r="S396" s="37"/>
    </row>
    <row r="397" spans="1:19" x14ac:dyDescent="0.25">
      <c r="A397" s="37"/>
      <c r="C397" s="37"/>
      <c r="D397" s="38"/>
      <c r="E397" s="37"/>
      <c r="F397" s="38"/>
      <c r="G397" s="37"/>
      <c r="H397" s="38"/>
      <c r="I397" s="37"/>
      <c r="J397" s="38"/>
      <c r="K397" s="37"/>
      <c r="L397" s="38"/>
      <c r="M397" s="37"/>
      <c r="N397" s="38"/>
      <c r="O397" s="37"/>
      <c r="P397" s="38"/>
      <c r="Q397" s="37"/>
      <c r="R397" s="37"/>
      <c r="S397" s="37"/>
    </row>
    <row r="398" spans="1:19" x14ac:dyDescent="0.25">
      <c r="A398" s="37"/>
      <c r="C398" s="37"/>
      <c r="D398" s="38"/>
      <c r="E398" s="37"/>
      <c r="F398" s="38"/>
      <c r="G398" s="37"/>
      <c r="H398" s="38"/>
      <c r="I398" s="37"/>
      <c r="J398" s="38"/>
      <c r="K398" s="37"/>
      <c r="L398" s="38"/>
      <c r="M398" s="37"/>
      <c r="N398" s="38"/>
      <c r="O398" s="37"/>
      <c r="P398" s="38"/>
      <c r="Q398" s="37"/>
      <c r="R398" s="37"/>
      <c r="S398" s="37"/>
    </row>
    <row r="399" spans="1:19" x14ac:dyDescent="0.25">
      <c r="A399" s="37"/>
      <c r="C399" s="37"/>
      <c r="D399" s="38"/>
      <c r="E399" s="37"/>
      <c r="F399" s="38"/>
      <c r="G399" s="37"/>
      <c r="H399" s="38"/>
      <c r="I399" s="37"/>
      <c r="J399" s="38"/>
      <c r="K399" s="37"/>
      <c r="L399" s="38"/>
      <c r="M399" s="37"/>
      <c r="N399" s="38"/>
      <c r="O399" s="37"/>
      <c r="P399" s="38"/>
      <c r="Q399" s="37"/>
      <c r="R399" s="37"/>
      <c r="S399" s="37"/>
    </row>
    <row r="400" spans="1:19" x14ac:dyDescent="0.25">
      <c r="A400" s="37"/>
      <c r="C400" s="37"/>
      <c r="D400" s="38"/>
      <c r="E400" s="37"/>
      <c r="F400" s="38"/>
      <c r="G400" s="37"/>
      <c r="H400" s="38"/>
      <c r="I400" s="37"/>
      <c r="J400" s="38"/>
      <c r="K400" s="37"/>
      <c r="L400" s="38"/>
      <c r="M400" s="37"/>
      <c r="N400" s="38"/>
      <c r="O400" s="37"/>
      <c r="P400" s="38"/>
      <c r="Q400" s="37"/>
      <c r="R400" s="37"/>
      <c r="S400" s="37"/>
    </row>
    <row r="401" spans="1:19" x14ac:dyDescent="0.25">
      <c r="A401" s="37"/>
      <c r="C401" s="37"/>
      <c r="D401" s="38"/>
      <c r="E401" s="37"/>
      <c r="F401" s="38"/>
      <c r="G401" s="37"/>
      <c r="H401" s="38"/>
      <c r="I401" s="37"/>
      <c r="J401" s="38"/>
      <c r="K401" s="37"/>
      <c r="L401" s="38"/>
      <c r="M401" s="37"/>
      <c r="N401" s="38"/>
      <c r="O401" s="37"/>
      <c r="P401" s="38"/>
      <c r="Q401" s="37"/>
      <c r="R401" s="37"/>
      <c r="S401" s="37"/>
    </row>
    <row r="402" spans="1:19" x14ac:dyDescent="0.25">
      <c r="A402" s="37"/>
      <c r="C402" s="37"/>
      <c r="D402" s="38"/>
      <c r="E402" s="37"/>
      <c r="F402" s="38"/>
      <c r="G402" s="37"/>
      <c r="H402" s="38"/>
      <c r="I402" s="37"/>
      <c r="J402" s="38"/>
      <c r="K402" s="37"/>
      <c r="L402" s="38"/>
      <c r="M402" s="37"/>
      <c r="N402" s="38"/>
      <c r="O402" s="37"/>
      <c r="P402" s="38"/>
      <c r="Q402" s="37"/>
      <c r="R402" s="37"/>
      <c r="S402" s="37"/>
    </row>
    <row r="403" spans="1:19" x14ac:dyDescent="0.25">
      <c r="A403" s="37"/>
      <c r="C403" s="37"/>
      <c r="D403" s="38"/>
      <c r="E403" s="37"/>
      <c r="F403" s="38"/>
      <c r="G403" s="37"/>
      <c r="H403" s="38"/>
      <c r="I403" s="37"/>
      <c r="J403" s="38"/>
      <c r="K403" s="37"/>
      <c r="L403" s="38"/>
      <c r="M403" s="37"/>
      <c r="N403" s="38"/>
      <c r="O403" s="37"/>
      <c r="P403" s="38"/>
      <c r="Q403" s="37"/>
      <c r="R403" s="37"/>
      <c r="S403" s="37"/>
    </row>
    <row r="404" spans="1:19" x14ac:dyDescent="0.25">
      <c r="A404" s="37"/>
      <c r="C404" s="37"/>
      <c r="D404" s="38"/>
      <c r="E404" s="37"/>
      <c r="F404" s="38"/>
      <c r="G404" s="37"/>
      <c r="H404" s="38"/>
      <c r="I404" s="37"/>
      <c r="J404" s="38"/>
      <c r="K404" s="37"/>
      <c r="L404" s="38"/>
      <c r="M404" s="37"/>
      <c r="N404" s="38"/>
      <c r="O404" s="37"/>
      <c r="P404" s="38"/>
      <c r="Q404" s="37"/>
      <c r="R404" s="37"/>
      <c r="S404" s="37"/>
    </row>
    <row r="405" spans="1:19" x14ac:dyDescent="0.25">
      <c r="A405" s="37"/>
      <c r="C405" s="37"/>
      <c r="D405" s="38"/>
      <c r="E405" s="37"/>
      <c r="F405" s="38"/>
      <c r="G405" s="37"/>
      <c r="H405" s="38"/>
      <c r="I405" s="37"/>
      <c r="J405" s="38"/>
      <c r="K405" s="37"/>
      <c r="L405" s="38"/>
      <c r="M405" s="37"/>
      <c r="N405" s="38"/>
      <c r="O405" s="37"/>
      <c r="P405" s="38"/>
      <c r="Q405" s="37"/>
      <c r="R405" s="37"/>
      <c r="S405" s="37"/>
    </row>
    <row r="406" spans="1:19" x14ac:dyDescent="0.25">
      <c r="A406" s="37"/>
      <c r="C406" s="37"/>
      <c r="D406" s="38"/>
      <c r="E406" s="37"/>
      <c r="F406" s="38"/>
      <c r="G406" s="37"/>
      <c r="H406" s="38"/>
      <c r="I406" s="37"/>
      <c r="J406" s="38"/>
      <c r="K406" s="37"/>
      <c r="L406" s="38"/>
      <c r="M406" s="37"/>
      <c r="N406" s="38"/>
      <c r="O406" s="37"/>
      <c r="P406" s="38"/>
      <c r="Q406" s="37"/>
      <c r="R406" s="37"/>
      <c r="S406" s="37"/>
    </row>
    <row r="407" spans="1:19" x14ac:dyDescent="0.25">
      <c r="A407" s="37"/>
      <c r="C407" s="37"/>
      <c r="D407" s="38"/>
      <c r="E407" s="37"/>
      <c r="F407" s="38"/>
      <c r="G407" s="37"/>
      <c r="H407" s="38"/>
      <c r="I407" s="37"/>
      <c r="J407" s="38"/>
      <c r="K407" s="37"/>
      <c r="L407" s="38"/>
      <c r="M407" s="37"/>
      <c r="N407" s="38"/>
      <c r="O407" s="37"/>
      <c r="P407" s="38"/>
      <c r="Q407" s="37"/>
      <c r="R407" s="37"/>
      <c r="S407" s="37"/>
    </row>
    <row r="408" spans="1:19" x14ac:dyDescent="0.25">
      <c r="A408" s="37"/>
      <c r="C408" s="37"/>
      <c r="D408" s="38"/>
      <c r="E408" s="37"/>
      <c r="F408" s="38"/>
      <c r="G408" s="37"/>
      <c r="H408" s="38"/>
      <c r="I408" s="37"/>
      <c r="J408" s="38"/>
      <c r="K408" s="37"/>
      <c r="L408" s="38"/>
      <c r="M408" s="37"/>
      <c r="N408" s="38"/>
      <c r="O408" s="37"/>
      <c r="P408" s="38"/>
      <c r="Q408" s="37"/>
      <c r="R408" s="37"/>
      <c r="S408" s="37"/>
    </row>
    <row r="409" spans="1:19" x14ac:dyDescent="0.25">
      <c r="A409" s="37"/>
      <c r="C409" s="37"/>
      <c r="D409" s="38"/>
      <c r="E409" s="37"/>
      <c r="F409" s="38"/>
      <c r="G409" s="37"/>
      <c r="H409" s="38"/>
      <c r="I409" s="37"/>
      <c r="J409" s="38"/>
      <c r="K409" s="37"/>
      <c r="L409" s="38"/>
      <c r="M409" s="37"/>
      <c r="N409" s="38"/>
      <c r="O409" s="37"/>
      <c r="P409" s="38"/>
      <c r="Q409" s="37"/>
      <c r="R409" s="37"/>
      <c r="S409" s="37"/>
    </row>
    <row r="410" spans="1:19" x14ac:dyDescent="0.25">
      <c r="A410" s="37"/>
      <c r="C410" s="37"/>
      <c r="D410" s="38"/>
      <c r="E410" s="37"/>
      <c r="F410" s="38"/>
      <c r="G410" s="37"/>
      <c r="H410" s="38"/>
      <c r="I410" s="37"/>
      <c r="J410" s="38"/>
      <c r="K410" s="37"/>
      <c r="L410" s="38"/>
      <c r="M410" s="37"/>
      <c r="N410" s="38"/>
      <c r="O410" s="37"/>
      <c r="P410" s="38"/>
      <c r="Q410" s="37"/>
      <c r="R410" s="37"/>
      <c r="S410" s="37"/>
    </row>
    <row r="411" spans="1:19" x14ac:dyDescent="0.25">
      <c r="A411" s="37"/>
      <c r="C411" s="37"/>
      <c r="D411" s="38"/>
      <c r="E411" s="37"/>
      <c r="F411" s="38"/>
      <c r="G411" s="37"/>
      <c r="H411" s="38"/>
      <c r="I411" s="37"/>
      <c r="J411" s="38"/>
      <c r="K411" s="37"/>
      <c r="L411" s="38"/>
      <c r="M411" s="37"/>
      <c r="N411" s="38"/>
      <c r="O411" s="37"/>
      <c r="P411" s="38"/>
      <c r="Q411" s="37"/>
      <c r="R411" s="37"/>
      <c r="S411" s="37"/>
    </row>
    <row r="412" spans="1:19" x14ac:dyDescent="0.25">
      <c r="A412" s="37"/>
      <c r="C412" s="37"/>
      <c r="D412" s="38"/>
      <c r="E412" s="37"/>
      <c r="F412" s="38"/>
      <c r="G412" s="37"/>
      <c r="H412" s="38"/>
      <c r="I412" s="37"/>
      <c r="J412" s="38"/>
      <c r="K412" s="37"/>
      <c r="L412" s="38"/>
      <c r="M412" s="37"/>
      <c r="N412" s="38"/>
      <c r="O412" s="37"/>
      <c r="P412" s="38"/>
      <c r="Q412" s="37"/>
      <c r="R412" s="37"/>
      <c r="S412" s="37"/>
    </row>
    <row r="413" spans="1:19" x14ac:dyDescent="0.25">
      <c r="A413" s="37"/>
      <c r="C413" s="37"/>
      <c r="D413" s="38"/>
      <c r="E413" s="37"/>
      <c r="F413" s="38"/>
      <c r="G413" s="37"/>
      <c r="H413" s="38"/>
      <c r="I413" s="37"/>
      <c r="J413" s="38"/>
      <c r="K413" s="37"/>
      <c r="L413" s="38"/>
      <c r="M413" s="37"/>
      <c r="N413" s="38"/>
      <c r="O413" s="37"/>
      <c r="P413" s="38"/>
      <c r="Q413" s="37"/>
      <c r="R413" s="37"/>
      <c r="S413" s="37"/>
    </row>
    <row r="414" spans="1:19" x14ac:dyDescent="0.25">
      <c r="A414" s="37"/>
      <c r="C414" s="37"/>
      <c r="D414" s="38"/>
      <c r="E414" s="37"/>
      <c r="F414" s="38"/>
      <c r="G414" s="37"/>
      <c r="H414" s="38"/>
      <c r="I414" s="37"/>
      <c r="J414" s="38"/>
      <c r="K414" s="37"/>
      <c r="L414" s="38"/>
      <c r="M414" s="37"/>
      <c r="N414" s="38"/>
      <c r="O414" s="37"/>
      <c r="P414" s="38"/>
      <c r="Q414" s="37"/>
      <c r="R414" s="37"/>
      <c r="S414" s="37"/>
    </row>
    <row r="415" spans="1:19" x14ac:dyDescent="0.25">
      <c r="A415" s="37"/>
      <c r="C415" s="37"/>
      <c r="D415" s="38"/>
      <c r="E415" s="37"/>
      <c r="F415" s="38"/>
      <c r="G415" s="37"/>
      <c r="H415" s="38"/>
      <c r="I415" s="37"/>
      <c r="J415" s="38"/>
      <c r="K415" s="37"/>
      <c r="L415" s="38"/>
      <c r="M415" s="37"/>
      <c r="N415" s="38"/>
      <c r="O415" s="37"/>
      <c r="P415" s="38"/>
      <c r="Q415" s="37"/>
      <c r="R415" s="37"/>
      <c r="S415" s="37"/>
    </row>
    <row r="416" spans="1:19" x14ac:dyDescent="0.25">
      <c r="A416" s="37"/>
      <c r="C416" s="37"/>
      <c r="D416" s="38"/>
      <c r="E416" s="37"/>
      <c r="F416" s="38"/>
      <c r="G416" s="37"/>
      <c r="H416" s="38"/>
      <c r="I416" s="37"/>
      <c r="J416" s="38"/>
      <c r="K416" s="37"/>
      <c r="L416" s="38"/>
      <c r="M416" s="37"/>
      <c r="N416" s="38"/>
      <c r="O416" s="37"/>
      <c r="P416" s="38"/>
      <c r="Q416" s="37"/>
      <c r="R416" s="37"/>
      <c r="S416" s="37"/>
    </row>
    <row r="417" spans="1:19" x14ac:dyDescent="0.25">
      <c r="A417" s="37"/>
      <c r="C417" s="37"/>
      <c r="D417" s="38"/>
      <c r="E417" s="37"/>
      <c r="F417" s="38"/>
      <c r="G417" s="37"/>
      <c r="H417" s="38"/>
      <c r="I417" s="37"/>
      <c r="J417" s="38"/>
      <c r="K417" s="37"/>
      <c r="L417" s="38"/>
      <c r="M417" s="37"/>
      <c r="N417" s="38"/>
      <c r="O417" s="37"/>
      <c r="P417" s="38"/>
      <c r="Q417" s="37"/>
      <c r="R417" s="37"/>
      <c r="S417" s="37"/>
    </row>
    <row r="418" spans="1:19" x14ac:dyDescent="0.25">
      <c r="A418" s="37"/>
      <c r="C418" s="37"/>
      <c r="D418" s="38"/>
      <c r="E418" s="37"/>
      <c r="F418" s="38"/>
      <c r="G418" s="37"/>
      <c r="H418" s="38"/>
      <c r="I418" s="37"/>
      <c r="J418" s="38"/>
      <c r="K418" s="37"/>
      <c r="L418" s="38"/>
      <c r="M418" s="37"/>
      <c r="N418" s="38"/>
      <c r="O418" s="37"/>
      <c r="P418" s="38"/>
      <c r="Q418" s="37"/>
      <c r="R418" s="37"/>
      <c r="S418" s="37"/>
    </row>
    <row r="419" spans="1:19" x14ac:dyDescent="0.25">
      <c r="A419" s="37"/>
      <c r="C419" s="37"/>
      <c r="D419" s="38"/>
      <c r="E419" s="37"/>
      <c r="F419" s="38"/>
      <c r="G419" s="37"/>
      <c r="H419" s="38"/>
      <c r="I419" s="37"/>
      <c r="J419" s="38"/>
      <c r="K419" s="37"/>
      <c r="L419" s="38"/>
      <c r="M419" s="37"/>
      <c r="N419" s="38"/>
      <c r="O419" s="37"/>
      <c r="P419" s="38"/>
      <c r="Q419" s="37"/>
      <c r="R419" s="37"/>
      <c r="S419" s="37"/>
    </row>
    <row r="420" spans="1:19" x14ac:dyDescent="0.25">
      <c r="A420" s="37"/>
      <c r="C420" s="37"/>
      <c r="D420" s="38"/>
      <c r="E420" s="37"/>
      <c r="F420" s="38"/>
      <c r="G420" s="37"/>
      <c r="H420" s="38"/>
      <c r="I420" s="37"/>
      <c r="J420" s="38"/>
      <c r="K420" s="37"/>
      <c r="L420" s="38"/>
      <c r="M420" s="37"/>
      <c r="N420" s="38"/>
      <c r="O420" s="37"/>
      <c r="P420" s="38"/>
      <c r="Q420" s="37"/>
      <c r="R420" s="37"/>
      <c r="S420" s="37"/>
    </row>
    <row r="421" spans="1:19" x14ac:dyDescent="0.25">
      <c r="A421" s="37"/>
      <c r="C421" s="37"/>
      <c r="D421" s="38"/>
      <c r="E421" s="37"/>
      <c r="F421" s="38"/>
      <c r="G421" s="37"/>
      <c r="H421" s="38"/>
      <c r="I421" s="37"/>
      <c r="J421" s="38"/>
      <c r="K421" s="37"/>
      <c r="L421" s="38"/>
      <c r="M421" s="37"/>
      <c r="N421" s="38"/>
      <c r="O421" s="37"/>
      <c r="P421" s="38"/>
      <c r="Q421" s="37"/>
      <c r="R421" s="37"/>
      <c r="S421" s="37"/>
    </row>
    <row r="422" spans="1:19" x14ac:dyDescent="0.25">
      <c r="A422" s="37"/>
      <c r="C422" s="37"/>
      <c r="D422" s="38"/>
      <c r="E422" s="37"/>
      <c r="F422" s="38"/>
      <c r="G422" s="37"/>
      <c r="H422" s="38"/>
      <c r="I422" s="37"/>
      <c r="J422" s="38"/>
      <c r="K422" s="37"/>
      <c r="L422" s="38"/>
      <c r="M422" s="37"/>
      <c r="N422" s="38"/>
      <c r="O422" s="37"/>
      <c r="P422" s="38"/>
      <c r="Q422" s="37"/>
      <c r="R422" s="37"/>
      <c r="S422" s="37"/>
    </row>
    <row r="423" spans="1:19" x14ac:dyDescent="0.25">
      <c r="A423" s="37"/>
      <c r="C423" s="37"/>
      <c r="D423" s="38"/>
      <c r="E423" s="37"/>
      <c r="F423" s="38"/>
      <c r="G423" s="37"/>
      <c r="H423" s="38"/>
      <c r="I423" s="37"/>
      <c r="J423" s="38"/>
      <c r="K423" s="37"/>
      <c r="L423" s="38"/>
      <c r="M423" s="37"/>
      <c r="N423" s="38"/>
      <c r="O423" s="37"/>
      <c r="P423" s="38"/>
      <c r="Q423" s="37"/>
      <c r="R423" s="37"/>
      <c r="S423" s="37"/>
    </row>
    <row r="424" spans="1:19" x14ac:dyDescent="0.25">
      <c r="A424" s="37"/>
      <c r="C424" s="37"/>
      <c r="D424" s="38"/>
      <c r="E424" s="37"/>
      <c r="F424" s="38"/>
      <c r="G424" s="37"/>
      <c r="H424" s="38"/>
      <c r="I424" s="37"/>
      <c r="J424" s="38"/>
      <c r="K424" s="37"/>
      <c r="L424" s="38"/>
      <c r="M424" s="37"/>
      <c r="N424" s="38"/>
      <c r="O424" s="37"/>
      <c r="P424" s="38"/>
      <c r="Q424" s="37"/>
      <c r="R424" s="37"/>
      <c r="S424" s="37"/>
    </row>
    <row r="425" spans="1:19" x14ac:dyDescent="0.25">
      <c r="A425" s="37"/>
      <c r="C425" s="37"/>
      <c r="D425" s="38"/>
      <c r="E425" s="37"/>
      <c r="F425" s="38"/>
      <c r="G425" s="37"/>
      <c r="H425" s="38"/>
      <c r="I425" s="37"/>
      <c r="J425" s="38"/>
      <c r="K425" s="37"/>
      <c r="L425" s="38"/>
      <c r="M425" s="37"/>
      <c r="N425" s="38"/>
      <c r="O425" s="37"/>
      <c r="P425" s="38"/>
      <c r="Q425" s="37"/>
      <c r="R425" s="37"/>
      <c r="S425" s="37"/>
    </row>
    <row r="426" spans="1:19" x14ac:dyDescent="0.25">
      <c r="A426" s="37"/>
      <c r="C426" s="37"/>
      <c r="D426" s="38"/>
      <c r="E426" s="37"/>
      <c r="F426" s="38"/>
      <c r="G426" s="37"/>
      <c r="H426" s="38"/>
      <c r="I426" s="37"/>
      <c r="J426" s="38"/>
      <c r="K426" s="37"/>
      <c r="L426" s="38"/>
      <c r="M426" s="37"/>
      <c r="N426" s="38"/>
      <c r="O426" s="37"/>
      <c r="P426" s="38"/>
      <c r="Q426" s="37"/>
      <c r="R426" s="37"/>
      <c r="S426" s="37"/>
    </row>
    <row r="427" spans="1:19" x14ac:dyDescent="0.25">
      <c r="A427" s="37"/>
      <c r="C427" s="37"/>
      <c r="D427" s="38"/>
      <c r="E427" s="37"/>
      <c r="F427" s="38"/>
      <c r="G427" s="37"/>
      <c r="H427" s="38"/>
      <c r="I427" s="37"/>
      <c r="J427" s="38"/>
      <c r="K427" s="37"/>
      <c r="L427" s="38"/>
      <c r="M427" s="37"/>
      <c r="N427" s="38"/>
      <c r="O427" s="37"/>
      <c r="P427" s="38"/>
      <c r="Q427" s="37"/>
      <c r="R427" s="37"/>
      <c r="S427" s="37"/>
    </row>
    <row r="428" spans="1:19" x14ac:dyDescent="0.25">
      <c r="A428" s="37"/>
      <c r="C428" s="37"/>
      <c r="D428" s="38"/>
      <c r="E428" s="37"/>
      <c r="F428" s="38"/>
      <c r="G428" s="37"/>
      <c r="H428" s="38"/>
      <c r="I428" s="37"/>
      <c r="J428" s="38"/>
      <c r="K428" s="37"/>
      <c r="L428" s="38"/>
      <c r="M428" s="37"/>
      <c r="N428" s="38"/>
      <c r="O428" s="37"/>
      <c r="P428" s="38"/>
      <c r="Q428" s="37"/>
      <c r="R428" s="37"/>
      <c r="S428" s="37"/>
    </row>
    <row r="429" spans="1:19" x14ac:dyDescent="0.25">
      <c r="A429" s="37"/>
      <c r="C429" s="37"/>
      <c r="D429" s="38"/>
      <c r="E429" s="37"/>
      <c r="F429" s="38"/>
      <c r="G429" s="37"/>
      <c r="H429" s="38"/>
      <c r="I429" s="37"/>
      <c r="J429" s="38"/>
      <c r="K429" s="37"/>
      <c r="L429" s="38"/>
      <c r="M429" s="37"/>
      <c r="N429" s="38"/>
      <c r="O429" s="37"/>
      <c r="P429" s="38"/>
      <c r="Q429" s="37"/>
      <c r="R429" s="37"/>
      <c r="S429" s="37"/>
    </row>
    <row r="430" spans="1:19" x14ac:dyDescent="0.25">
      <c r="A430" s="37"/>
      <c r="C430" s="37"/>
      <c r="D430" s="38"/>
      <c r="E430" s="37"/>
      <c r="F430" s="38"/>
      <c r="G430" s="37"/>
      <c r="H430" s="38"/>
      <c r="I430" s="37"/>
      <c r="J430" s="38"/>
      <c r="K430" s="37"/>
      <c r="L430" s="38"/>
      <c r="M430" s="37"/>
      <c r="N430" s="38"/>
      <c r="O430" s="37"/>
      <c r="P430" s="38"/>
      <c r="Q430" s="37"/>
      <c r="R430" s="37"/>
      <c r="S430" s="37"/>
    </row>
    <row r="431" spans="1:19" x14ac:dyDescent="0.25">
      <c r="A431" s="37"/>
      <c r="C431" s="37"/>
      <c r="D431" s="38"/>
      <c r="E431" s="37"/>
      <c r="F431" s="38"/>
      <c r="G431" s="37"/>
      <c r="H431" s="38"/>
      <c r="I431" s="37"/>
      <c r="J431" s="38"/>
      <c r="K431" s="37"/>
      <c r="L431" s="38"/>
      <c r="M431" s="37"/>
      <c r="N431" s="38"/>
      <c r="O431" s="37"/>
      <c r="P431" s="38"/>
      <c r="Q431" s="37"/>
      <c r="R431" s="37"/>
      <c r="S431" s="37"/>
    </row>
    <row r="432" spans="1:19" x14ac:dyDescent="0.25">
      <c r="A432" s="37"/>
      <c r="C432" s="37"/>
      <c r="D432" s="38"/>
      <c r="E432" s="37"/>
      <c r="F432" s="38"/>
      <c r="G432" s="37"/>
      <c r="H432" s="38"/>
      <c r="I432" s="37"/>
      <c r="J432" s="38"/>
      <c r="K432" s="37"/>
      <c r="L432" s="38"/>
      <c r="M432" s="37"/>
      <c r="N432" s="38"/>
      <c r="O432" s="37"/>
      <c r="P432" s="38"/>
      <c r="Q432" s="37"/>
      <c r="R432" s="37"/>
      <c r="S432" s="37"/>
    </row>
    <row r="433" spans="1:19" x14ac:dyDescent="0.25">
      <c r="A433" s="37"/>
      <c r="C433" s="37"/>
      <c r="D433" s="38"/>
      <c r="E433" s="37"/>
      <c r="F433" s="38"/>
      <c r="G433" s="37"/>
      <c r="H433" s="38"/>
      <c r="I433" s="37"/>
      <c r="J433" s="38"/>
      <c r="K433" s="37"/>
      <c r="L433" s="38"/>
      <c r="M433" s="37"/>
      <c r="N433" s="38"/>
      <c r="O433" s="37"/>
      <c r="P433" s="38"/>
      <c r="Q433" s="37"/>
      <c r="R433" s="37"/>
      <c r="S433" s="37"/>
    </row>
    <row r="434" spans="1:19" x14ac:dyDescent="0.25">
      <c r="A434" s="37"/>
      <c r="C434" s="37"/>
      <c r="D434" s="38"/>
      <c r="E434" s="37"/>
      <c r="F434" s="38"/>
      <c r="G434" s="37"/>
      <c r="H434" s="38"/>
      <c r="I434" s="37"/>
      <c r="J434" s="38"/>
      <c r="K434" s="37"/>
      <c r="L434" s="38"/>
      <c r="M434" s="37"/>
      <c r="N434" s="38"/>
      <c r="O434" s="37"/>
      <c r="P434" s="38"/>
      <c r="Q434" s="37"/>
      <c r="R434" s="37"/>
      <c r="S434" s="37"/>
    </row>
    <row r="435" spans="1:19" x14ac:dyDescent="0.25">
      <c r="A435" s="37"/>
      <c r="C435" s="37"/>
      <c r="D435" s="38"/>
      <c r="E435" s="37"/>
      <c r="F435" s="38"/>
      <c r="G435" s="37"/>
      <c r="H435" s="38"/>
      <c r="I435" s="37"/>
      <c r="J435" s="38"/>
      <c r="K435" s="37"/>
      <c r="L435" s="38"/>
      <c r="M435" s="37"/>
      <c r="N435" s="38"/>
      <c r="O435" s="37"/>
      <c r="P435" s="38"/>
      <c r="Q435" s="37"/>
      <c r="R435" s="37"/>
      <c r="S435" s="37"/>
    </row>
    <row r="436" spans="1:19" x14ac:dyDescent="0.25">
      <c r="A436" s="37"/>
      <c r="C436" s="37"/>
      <c r="D436" s="38"/>
      <c r="E436" s="37"/>
      <c r="F436" s="38"/>
      <c r="G436" s="37"/>
      <c r="H436" s="38"/>
      <c r="I436" s="37"/>
      <c r="J436" s="38"/>
      <c r="K436" s="37"/>
      <c r="L436" s="38"/>
      <c r="M436" s="37"/>
      <c r="N436" s="38"/>
      <c r="O436" s="37"/>
      <c r="P436" s="38"/>
      <c r="Q436" s="37"/>
      <c r="R436" s="37"/>
      <c r="S436" s="37"/>
    </row>
    <row r="437" spans="1:19" x14ac:dyDescent="0.25">
      <c r="A437" s="37"/>
      <c r="C437" s="37"/>
      <c r="D437" s="38"/>
      <c r="E437" s="37"/>
      <c r="F437" s="38"/>
      <c r="G437" s="37"/>
      <c r="H437" s="38"/>
      <c r="I437" s="37"/>
      <c r="J437" s="38"/>
      <c r="K437" s="37"/>
      <c r="L437" s="38"/>
      <c r="M437" s="37"/>
      <c r="N437" s="38"/>
      <c r="O437" s="37"/>
      <c r="P437" s="38"/>
      <c r="Q437" s="37"/>
      <c r="R437" s="37"/>
      <c r="S437" s="37"/>
    </row>
    <row r="438" spans="1:19" x14ac:dyDescent="0.25">
      <c r="A438" s="37"/>
      <c r="C438" s="37"/>
      <c r="D438" s="38"/>
      <c r="E438" s="37"/>
      <c r="F438" s="38"/>
      <c r="G438" s="37"/>
      <c r="H438" s="38"/>
      <c r="I438" s="37"/>
      <c r="J438" s="38"/>
      <c r="K438" s="37"/>
      <c r="L438" s="38"/>
      <c r="M438" s="37"/>
      <c r="N438" s="38"/>
      <c r="O438" s="37"/>
      <c r="P438" s="38"/>
      <c r="Q438" s="37"/>
      <c r="R438" s="37"/>
      <c r="S438" s="37"/>
    </row>
    <row r="439" spans="1:19" x14ac:dyDescent="0.25">
      <c r="A439" s="37"/>
      <c r="C439" s="37"/>
      <c r="D439" s="38"/>
      <c r="E439" s="37"/>
      <c r="F439" s="38"/>
      <c r="G439" s="37"/>
      <c r="H439" s="38"/>
      <c r="I439" s="37"/>
      <c r="J439" s="38"/>
      <c r="K439" s="37"/>
      <c r="L439" s="38"/>
      <c r="M439" s="37"/>
      <c r="N439" s="38"/>
      <c r="O439" s="37"/>
      <c r="P439" s="38"/>
      <c r="Q439" s="37"/>
      <c r="R439" s="37"/>
      <c r="S439" s="37"/>
    </row>
    <row r="440" spans="1:19" x14ac:dyDescent="0.25">
      <c r="A440" s="37"/>
      <c r="C440" s="37"/>
      <c r="D440" s="38"/>
      <c r="E440" s="37"/>
      <c r="F440" s="38"/>
      <c r="G440" s="37"/>
      <c r="H440" s="38"/>
      <c r="I440" s="37"/>
      <c r="J440" s="38"/>
      <c r="K440" s="37"/>
      <c r="L440" s="38"/>
      <c r="M440" s="37"/>
      <c r="N440" s="38"/>
      <c r="O440" s="37"/>
      <c r="P440" s="38"/>
      <c r="Q440" s="37"/>
      <c r="R440" s="37"/>
      <c r="S440" s="37"/>
    </row>
    <row r="441" spans="1:19" x14ac:dyDescent="0.25">
      <c r="A441" s="37"/>
      <c r="C441" s="37"/>
      <c r="D441" s="38"/>
      <c r="E441" s="37"/>
      <c r="F441" s="38"/>
      <c r="G441" s="37"/>
      <c r="H441" s="38"/>
      <c r="I441" s="37"/>
      <c r="J441" s="38"/>
      <c r="K441" s="37"/>
      <c r="L441" s="38"/>
      <c r="M441" s="37"/>
      <c r="N441" s="38"/>
      <c r="O441" s="37"/>
      <c r="P441" s="38"/>
      <c r="Q441" s="37"/>
      <c r="R441" s="37"/>
      <c r="S441" s="37"/>
    </row>
    <row r="442" spans="1:19" x14ac:dyDescent="0.25">
      <c r="A442" s="37"/>
      <c r="C442" s="37"/>
      <c r="D442" s="38"/>
      <c r="E442" s="37"/>
      <c r="F442" s="38"/>
      <c r="G442" s="37"/>
      <c r="H442" s="38"/>
      <c r="I442" s="37"/>
      <c r="J442" s="38"/>
      <c r="K442" s="37"/>
      <c r="L442" s="38"/>
      <c r="M442" s="37"/>
      <c r="N442" s="38"/>
      <c r="O442" s="37"/>
      <c r="P442" s="38"/>
      <c r="Q442" s="37"/>
      <c r="R442" s="37"/>
      <c r="S442" s="37"/>
    </row>
    <row r="443" spans="1:19" x14ac:dyDescent="0.25">
      <c r="A443" s="37"/>
      <c r="C443" s="37"/>
      <c r="D443" s="38"/>
      <c r="E443" s="37"/>
      <c r="F443" s="38"/>
      <c r="G443" s="37"/>
      <c r="H443" s="38"/>
      <c r="I443" s="37"/>
      <c r="J443" s="38"/>
      <c r="K443" s="37"/>
      <c r="L443" s="38"/>
      <c r="M443" s="37"/>
      <c r="N443" s="38"/>
      <c r="O443" s="37"/>
      <c r="P443" s="38"/>
      <c r="Q443" s="37"/>
      <c r="R443" s="37"/>
      <c r="S443" s="37"/>
    </row>
    <row r="444" spans="1:19" x14ac:dyDescent="0.25">
      <c r="A444" s="37"/>
      <c r="C444" s="37"/>
      <c r="D444" s="38"/>
      <c r="E444" s="37"/>
      <c r="F444" s="38"/>
      <c r="G444" s="37"/>
      <c r="H444" s="38"/>
      <c r="I444" s="37"/>
      <c r="J444" s="38"/>
      <c r="K444" s="37"/>
      <c r="L444" s="38"/>
      <c r="M444" s="37"/>
      <c r="N444" s="38"/>
      <c r="O444" s="37"/>
      <c r="P444" s="38"/>
      <c r="Q444" s="37"/>
      <c r="R444" s="37"/>
      <c r="S444" s="37"/>
    </row>
    <row r="445" spans="1:19" x14ac:dyDescent="0.25">
      <c r="A445" s="37"/>
      <c r="C445" s="37"/>
      <c r="D445" s="38"/>
      <c r="E445" s="37"/>
      <c r="F445" s="38"/>
      <c r="G445" s="37"/>
      <c r="H445" s="38"/>
      <c r="I445" s="37"/>
      <c r="J445" s="38"/>
      <c r="K445" s="37"/>
      <c r="L445" s="38"/>
      <c r="M445" s="37"/>
      <c r="N445" s="38"/>
      <c r="O445" s="37"/>
      <c r="P445" s="38"/>
      <c r="Q445" s="37"/>
      <c r="R445" s="37"/>
      <c r="S445" s="37"/>
    </row>
    <row r="446" spans="1:19" x14ac:dyDescent="0.25">
      <c r="A446" s="37"/>
      <c r="C446" s="37"/>
      <c r="D446" s="38"/>
      <c r="E446" s="37"/>
      <c r="F446" s="38"/>
      <c r="G446" s="37"/>
      <c r="H446" s="38"/>
      <c r="I446" s="37"/>
      <c r="J446" s="38"/>
      <c r="K446" s="37"/>
      <c r="L446" s="38"/>
      <c r="M446" s="37"/>
      <c r="N446" s="38"/>
      <c r="O446" s="37"/>
      <c r="P446" s="38"/>
      <c r="Q446" s="37"/>
      <c r="R446" s="37"/>
      <c r="S446" s="37"/>
    </row>
    <row r="447" spans="1:19" x14ac:dyDescent="0.25">
      <c r="A447" s="37"/>
      <c r="C447" s="37"/>
      <c r="D447" s="38"/>
      <c r="E447" s="37"/>
      <c r="F447" s="38"/>
      <c r="G447" s="37"/>
      <c r="H447" s="38"/>
      <c r="I447" s="37"/>
      <c r="J447" s="38"/>
      <c r="K447" s="37"/>
      <c r="L447" s="38"/>
      <c r="M447" s="37"/>
      <c r="N447" s="38"/>
      <c r="O447" s="37"/>
      <c r="P447" s="38"/>
      <c r="Q447" s="37"/>
      <c r="R447" s="37"/>
      <c r="S447" s="37"/>
    </row>
    <row r="448" spans="1:19" x14ac:dyDescent="0.25">
      <c r="A448" s="37"/>
      <c r="C448" s="37"/>
      <c r="D448" s="38"/>
      <c r="E448" s="37"/>
      <c r="F448" s="38"/>
      <c r="G448" s="37"/>
      <c r="H448" s="38"/>
      <c r="I448" s="37"/>
      <c r="J448" s="38"/>
      <c r="K448" s="37"/>
      <c r="L448" s="38"/>
      <c r="M448" s="37"/>
      <c r="N448" s="38"/>
      <c r="O448" s="37"/>
      <c r="P448" s="38"/>
      <c r="Q448" s="37"/>
      <c r="R448" s="37"/>
      <c r="S448" s="37"/>
    </row>
    <row r="449" spans="1:19" x14ac:dyDescent="0.25">
      <c r="A449" s="37"/>
      <c r="C449" s="37"/>
      <c r="D449" s="38"/>
      <c r="E449" s="37"/>
      <c r="F449" s="38"/>
      <c r="G449" s="37"/>
      <c r="H449" s="38"/>
      <c r="I449" s="37"/>
      <c r="J449" s="38"/>
      <c r="K449" s="37"/>
      <c r="L449" s="38"/>
      <c r="M449" s="37"/>
      <c r="N449" s="38"/>
      <c r="O449" s="37"/>
      <c r="P449" s="38"/>
      <c r="Q449" s="37"/>
      <c r="R449" s="37"/>
      <c r="S449" s="37"/>
    </row>
    <row r="450" spans="1:19" x14ac:dyDescent="0.25">
      <c r="A450" s="37"/>
      <c r="C450" s="37"/>
      <c r="D450" s="38"/>
      <c r="E450" s="37"/>
      <c r="F450" s="38"/>
      <c r="G450" s="37"/>
      <c r="H450" s="38"/>
      <c r="I450" s="37"/>
      <c r="J450" s="38"/>
      <c r="K450" s="37"/>
      <c r="L450" s="38"/>
      <c r="M450" s="37"/>
      <c r="N450" s="38"/>
      <c r="O450" s="37"/>
      <c r="P450" s="38"/>
      <c r="Q450" s="37"/>
      <c r="R450" s="37"/>
      <c r="S450" s="37"/>
    </row>
    <row r="451" spans="1:19" x14ac:dyDescent="0.25">
      <c r="A451" s="37"/>
      <c r="C451" s="37"/>
      <c r="D451" s="38"/>
      <c r="E451" s="37"/>
      <c r="F451" s="38"/>
      <c r="G451" s="37"/>
      <c r="H451" s="38"/>
      <c r="I451" s="37"/>
      <c r="J451" s="38"/>
      <c r="K451" s="37"/>
      <c r="L451" s="38"/>
      <c r="M451" s="37"/>
      <c r="N451" s="38"/>
      <c r="O451" s="37"/>
      <c r="P451" s="38"/>
      <c r="Q451" s="37"/>
      <c r="R451" s="37"/>
      <c r="S451" s="37"/>
    </row>
    <row r="452" spans="1:19" x14ac:dyDescent="0.25">
      <c r="A452" s="37"/>
      <c r="C452" s="37"/>
      <c r="D452" s="38"/>
      <c r="E452" s="37"/>
      <c r="F452" s="38"/>
      <c r="G452" s="37"/>
      <c r="H452" s="38"/>
      <c r="I452" s="37"/>
      <c r="J452" s="38"/>
      <c r="K452" s="37"/>
      <c r="L452" s="38"/>
      <c r="M452" s="37"/>
      <c r="N452" s="38"/>
      <c r="O452" s="37"/>
      <c r="P452" s="38"/>
      <c r="Q452" s="37"/>
      <c r="R452" s="37"/>
      <c r="S452" s="37"/>
    </row>
    <row r="453" spans="1:19" x14ac:dyDescent="0.25">
      <c r="A453" s="37"/>
      <c r="C453" s="37"/>
      <c r="D453" s="38"/>
      <c r="E453" s="37"/>
      <c r="F453" s="38"/>
      <c r="G453" s="37"/>
      <c r="H453" s="38"/>
      <c r="I453" s="37"/>
      <c r="J453" s="38"/>
      <c r="K453" s="37"/>
      <c r="L453" s="38"/>
      <c r="M453" s="37"/>
      <c r="N453" s="38"/>
      <c r="O453" s="37"/>
      <c r="P453" s="38"/>
      <c r="Q453" s="37"/>
      <c r="R453" s="37"/>
      <c r="S453" s="37"/>
    </row>
    <row r="454" spans="1:19" x14ac:dyDescent="0.25">
      <c r="A454" s="37"/>
      <c r="C454" s="37"/>
      <c r="D454" s="38"/>
      <c r="E454" s="37"/>
      <c r="F454" s="38"/>
      <c r="G454" s="37"/>
      <c r="H454" s="38"/>
      <c r="I454" s="37"/>
      <c r="J454" s="38"/>
      <c r="K454" s="37"/>
      <c r="L454" s="38"/>
      <c r="M454" s="37"/>
      <c r="N454" s="38"/>
      <c r="O454" s="37"/>
      <c r="P454" s="38"/>
      <c r="Q454" s="37"/>
      <c r="R454" s="37"/>
      <c r="S454" s="37"/>
    </row>
    <row r="455" spans="1:19" x14ac:dyDescent="0.25">
      <c r="A455" s="37"/>
      <c r="C455" s="37"/>
      <c r="D455" s="38"/>
      <c r="E455" s="37"/>
      <c r="F455" s="38"/>
      <c r="G455" s="37"/>
      <c r="H455" s="38"/>
      <c r="I455" s="37"/>
      <c r="J455" s="38"/>
      <c r="K455" s="37"/>
      <c r="L455" s="38"/>
      <c r="M455" s="37"/>
      <c r="N455" s="38"/>
      <c r="O455" s="37"/>
      <c r="P455" s="38"/>
      <c r="Q455" s="37"/>
      <c r="R455" s="37"/>
      <c r="S455" s="37"/>
    </row>
    <row r="456" spans="1:19" x14ac:dyDescent="0.25">
      <c r="A456" s="37"/>
      <c r="C456" s="37"/>
      <c r="D456" s="38"/>
      <c r="E456" s="37"/>
      <c r="F456" s="38"/>
      <c r="G456" s="37"/>
      <c r="H456" s="38"/>
      <c r="I456" s="37"/>
      <c r="J456" s="38"/>
      <c r="K456" s="37"/>
      <c r="L456" s="38"/>
      <c r="M456" s="37"/>
      <c r="N456" s="38"/>
      <c r="O456" s="37"/>
      <c r="P456" s="38"/>
      <c r="Q456" s="37"/>
      <c r="R456" s="37"/>
      <c r="S456" s="37"/>
    </row>
    <row r="457" spans="1:19" x14ac:dyDescent="0.25">
      <c r="A457" s="37"/>
      <c r="C457" s="37"/>
      <c r="D457" s="38"/>
      <c r="E457" s="37"/>
      <c r="F457" s="38"/>
      <c r="G457" s="37"/>
      <c r="H457" s="38"/>
      <c r="I457" s="37"/>
      <c r="J457" s="38"/>
      <c r="K457" s="37"/>
      <c r="L457" s="38"/>
      <c r="M457" s="37"/>
      <c r="N457" s="38"/>
      <c r="O457" s="37"/>
      <c r="P457" s="38"/>
      <c r="Q457" s="37"/>
      <c r="R457" s="37"/>
      <c r="S457" s="37"/>
    </row>
    <row r="458" spans="1:19" x14ac:dyDescent="0.25">
      <c r="A458" s="37"/>
      <c r="C458" s="37"/>
      <c r="D458" s="38"/>
      <c r="E458" s="37"/>
      <c r="F458" s="38"/>
      <c r="G458" s="37"/>
      <c r="H458" s="38"/>
      <c r="I458" s="37"/>
      <c r="J458" s="38"/>
      <c r="K458" s="37"/>
      <c r="L458" s="38"/>
      <c r="M458" s="37"/>
      <c r="N458" s="38"/>
      <c r="O458" s="37"/>
      <c r="P458" s="38"/>
      <c r="Q458" s="37"/>
      <c r="R458" s="37"/>
      <c r="S458" s="37"/>
    </row>
    <row r="459" spans="1:19" x14ac:dyDescent="0.25">
      <c r="A459" s="37"/>
      <c r="C459" s="37"/>
      <c r="D459" s="38"/>
      <c r="E459" s="37"/>
      <c r="F459" s="38"/>
      <c r="G459" s="37"/>
      <c r="H459" s="38"/>
      <c r="I459" s="37"/>
      <c r="J459" s="38"/>
      <c r="K459" s="37"/>
      <c r="L459" s="38"/>
      <c r="M459" s="37"/>
      <c r="N459" s="38"/>
      <c r="O459" s="37"/>
      <c r="P459" s="38"/>
      <c r="Q459" s="37"/>
      <c r="R459" s="37"/>
      <c r="S459" s="37"/>
    </row>
    <row r="460" spans="1:19" x14ac:dyDescent="0.25">
      <c r="A460" s="37"/>
      <c r="C460" s="37"/>
      <c r="D460" s="38"/>
      <c r="E460" s="37"/>
      <c r="F460" s="38"/>
      <c r="G460" s="37"/>
      <c r="H460" s="38"/>
      <c r="I460" s="37"/>
      <c r="J460" s="38"/>
      <c r="K460" s="37"/>
      <c r="L460" s="38"/>
      <c r="M460" s="37"/>
      <c r="N460" s="38"/>
      <c r="O460" s="37"/>
      <c r="P460" s="38"/>
      <c r="Q460" s="37"/>
      <c r="R460" s="37"/>
      <c r="S460" s="37"/>
    </row>
    <row r="461" spans="1:19" x14ac:dyDescent="0.25">
      <c r="A461" s="37"/>
      <c r="C461" s="37"/>
      <c r="D461" s="38"/>
      <c r="E461" s="37"/>
      <c r="F461" s="38"/>
      <c r="G461" s="37"/>
      <c r="H461" s="38"/>
      <c r="I461" s="37"/>
      <c r="J461" s="38"/>
      <c r="K461" s="37"/>
      <c r="L461" s="38"/>
      <c r="M461" s="37"/>
      <c r="N461" s="38"/>
      <c r="O461" s="37"/>
      <c r="P461" s="38"/>
      <c r="Q461" s="37"/>
      <c r="R461" s="37"/>
      <c r="S461" s="37"/>
    </row>
    <row r="462" spans="1:19" x14ac:dyDescent="0.25">
      <c r="A462" s="37"/>
      <c r="C462" s="37"/>
      <c r="D462" s="38"/>
      <c r="E462" s="37"/>
      <c r="F462" s="38"/>
      <c r="G462" s="37"/>
      <c r="H462" s="38"/>
      <c r="I462" s="37"/>
      <c r="J462" s="38"/>
      <c r="K462" s="37"/>
      <c r="L462" s="38"/>
      <c r="M462" s="37"/>
      <c r="N462" s="38"/>
      <c r="O462" s="37"/>
      <c r="P462" s="38"/>
      <c r="Q462" s="37"/>
      <c r="R462" s="37"/>
      <c r="S462" s="37"/>
    </row>
    <row r="463" spans="1:19" x14ac:dyDescent="0.25">
      <c r="A463" s="37"/>
      <c r="C463" s="37"/>
      <c r="D463" s="38"/>
      <c r="E463" s="37"/>
      <c r="F463" s="38"/>
      <c r="G463" s="37"/>
      <c r="H463" s="38"/>
      <c r="I463" s="37"/>
      <c r="J463" s="38"/>
      <c r="K463" s="37"/>
      <c r="L463" s="38"/>
      <c r="M463" s="37"/>
      <c r="N463" s="38"/>
      <c r="O463" s="37"/>
      <c r="P463" s="38"/>
      <c r="Q463" s="37"/>
      <c r="R463" s="37"/>
      <c r="S463" s="37"/>
    </row>
    <row r="464" spans="1:19" x14ac:dyDescent="0.25">
      <c r="A464" s="37"/>
      <c r="C464" s="37"/>
      <c r="D464" s="38"/>
      <c r="E464" s="37"/>
      <c r="F464" s="38"/>
      <c r="G464" s="37"/>
      <c r="H464" s="38"/>
      <c r="I464" s="37"/>
      <c r="J464" s="38"/>
      <c r="K464" s="37"/>
      <c r="L464" s="38"/>
      <c r="M464" s="37"/>
      <c r="N464" s="38"/>
      <c r="O464" s="37"/>
      <c r="P464" s="38"/>
      <c r="Q464" s="37"/>
      <c r="R464" s="37"/>
      <c r="S464" s="37"/>
    </row>
    <row r="465" spans="1:19" x14ac:dyDescent="0.25">
      <c r="A465" s="37"/>
      <c r="C465" s="37"/>
      <c r="D465" s="38"/>
      <c r="E465" s="37"/>
      <c r="F465" s="38"/>
      <c r="G465" s="37"/>
      <c r="H465" s="38"/>
      <c r="I465" s="37"/>
      <c r="J465" s="38"/>
      <c r="K465" s="37"/>
      <c r="L465" s="38"/>
      <c r="M465" s="37"/>
      <c r="N465" s="38"/>
      <c r="O465" s="37"/>
      <c r="P465" s="38"/>
      <c r="Q465" s="37"/>
      <c r="R465" s="37"/>
      <c r="S465" s="37"/>
    </row>
    <row r="466" spans="1:19" x14ac:dyDescent="0.25">
      <c r="A466" s="37"/>
      <c r="C466" s="37"/>
      <c r="D466" s="38"/>
      <c r="E466" s="37"/>
      <c r="F466" s="38"/>
      <c r="G466" s="37"/>
      <c r="H466" s="38"/>
      <c r="I466" s="37"/>
      <c r="J466" s="38"/>
      <c r="K466" s="37"/>
      <c r="L466" s="38"/>
      <c r="M466" s="37"/>
      <c r="N466" s="38"/>
      <c r="O466" s="37"/>
      <c r="P466" s="38"/>
      <c r="Q466" s="37"/>
      <c r="R466" s="37"/>
      <c r="S466" s="37"/>
    </row>
    <row r="467" spans="1:19" x14ac:dyDescent="0.25">
      <c r="A467" s="37"/>
      <c r="C467" s="37"/>
      <c r="D467" s="38"/>
      <c r="E467" s="37"/>
      <c r="F467" s="38"/>
      <c r="G467" s="37"/>
      <c r="H467" s="38"/>
      <c r="I467" s="37"/>
      <c r="J467" s="38"/>
      <c r="K467" s="37"/>
      <c r="L467" s="38"/>
      <c r="M467" s="37"/>
      <c r="N467" s="38"/>
      <c r="O467" s="37"/>
      <c r="P467" s="38"/>
      <c r="Q467" s="37"/>
      <c r="R467" s="37"/>
      <c r="S467" s="37"/>
    </row>
    <row r="468" spans="1:19" x14ac:dyDescent="0.25">
      <c r="A468" s="37"/>
      <c r="C468" s="37"/>
      <c r="D468" s="38"/>
      <c r="E468" s="37"/>
      <c r="F468" s="38"/>
      <c r="G468" s="37"/>
      <c r="H468" s="38"/>
      <c r="I468" s="37"/>
      <c r="J468" s="38"/>
      <c r="K468" s="37"/>
      <c r="L468" s="38"/>
      <c r="M468" s="37"/>
      <c r="N468" s="38"/>
      <c r="O468" s="37"/>
      <c r="P468" s="38"/>
      <c r="Q468" s="37"/>
      <c r="R468" s="37"/>
      <c r="S468" s="37"/>
    </row>
    <row r="469" spans="1:19" x14ac:dyDescent="0.25">
      <c r="A469" s="37"/>
      <c r="C469" s="37"/>
      <c r="D469" s="38"/>
      <c r="E469" s="37"/>
      <c r="F469" s="38"/>
      <c r="G469" s="37"/>
      <c r="H469" s="38"/>
      <c r="I469" s="37"/>
      <c r="J469" s="38"/>
      <c r="K469" s="37"/>
      <c r="L469" s="38"/>
      <c r="M469" s="37"/>
      <c r="N469" s="38"/>
      <c r="O469" s="37"/>
      <c r="P469" s="38"/>
      <c r="Q469" s="37"/>
      <c r="R469" s="37"/>
      <c r="S469" s="37"/>
    </row>
    <row r="470" spans="1:19" x14ac:dyDescent="0.25">
      <c r="A470" s="37"/>
      <c r="C470" s="37"/>
      <c r="D470" s="38"/>
      <c r="E470" s="37"/>
      <c r="F470" s="38"/>
      <c r="G470" s="37"/>
      <c r="H470" s="38"/>
      <c r="I470" s="37"/>
      <c r="J470" s="38"/>
      <c r="K470" s="37"/>
      <c r="L470" s="38"/>
      <c r="M470" s="37"/>
      <c r="N470" s="38"/>
      <c r="O470" s="37"/>
      <c r="P470" s="38"/>
      <c r="Q470" s="37"/>
      <c r="R470" s="37"/>
      <c r="S470" s="37"/>
    </row>
    <row r="471" spans="1:19" x14ac:dyDescent="0.25">
      <c r="A471" s="37"/>
      <c r="C471" s="37"/>
      <c r="D471" s="38"/>
      <c r="E471" s="37"/>
      <c r="F471" s="38"/>
      <c r="G471" s="37"/>
      <c r="H471" s="38"/>
      <c r="I471" s="37"/>
      <c r="J471" s="38"/>
      <c r="K471" s="37"/>
      <c r="L471" s="38"/>
      <c r="M471" s="37"/>
      <c r="N471" s="38"/>
      <c r="O471" s="37"/>
      <c r="P471" s="38"/>
      <c r="Q471" s="37"/>
      <c r="R471" s="37"/>
      <c r="S471" s="37"/>
    </row>
    <row r="472" spans="1:19" x14ac:dyDescent="0.25">
      <c r="A472" s="37"/>
      <c r="C472" s="37"/>
      <c r="D472" s="38"/>
      <c r="E472" s="37"/>
      <c r="F472" s="38"/>
      <c r="G472" s="37"/>
      <c r="H472" s="38"/>
      <c r="I472" s="37"/>
      <c r="J472" s="38"/>
      <c r="K472" s="37"/>
      <c r="L472" s="38"/>
      <c r="M472" s="37"/>
      <c r="N472" s="38"/>
      <c r="O472" s="37"/>
      <c r="P472" s="38"/>
      <c r="Q472" s="37"/>
      <c r="R472" s="37"/>
      <c r="S472" s="37"/>
    </row>
    <row r="473" spans="1:19" x14ac:dyDescent="0.25">
      <c r="A473" s="37"/>
      <c r="C473" s="37"/>
      <c r="D473" s="38"/>
      <c r="E473" s="37"/>
      <c r="F473" s="38"/>
      <c r="G473" s="37"/>
      <c r="H473" s="38"/>
      <c r="I473" s="37"/>
      <c r="J473" s="38"/>
      <c r="K473" s="37"/>
      <c r="L473" s="38"/>
      <c r="M473" s="37"/>
      <c r="N473" s="38"/>
      <c r="O473" s="37"/>
      <c r="P473" s="38"/>
      <c r="Q473" s="37"/>
      <c r="R473" s="37"/>
      <c r="S473" s="37"/>
    </row>
    <row r="474" spans="1:19" x14ac:dyDescent="0.25">
      <c r="A474" s="37"/>
      <c r="C474" s="37"/>
      <c r="D474" s="38"/>
      <c r="E474" s="37"/>
      <c r="F474" s="38"/>
      <c r="G474" s="37"/>
      <c r="H474" s="38"/>
      <c r="I474" s="37"/>
      <c r="J474" s="38"/>
      <c r="K474" s="37"/>
      <c r="L474" s="38"/>
      <c r="M474" s="37"/>
      <c r="N474" s="38"/>
      <c r="O474" s="37"/>
      <c r="P474" s="38"/>
      <c r="Q474" s="37"/>
      <c r="R474" s="37"/>
      <c r="S474" s="37"/>
    </row>
    <row r="475" spans="1:19" x14ac:dyDescent="0.25">
      <c r="A475" s="37"/>
      <c r="C475" s="37"/>
      <c r="D475" s="38"/>
      <c r="E475" s="37"/>
      <c r="F475" s="38"/>
      <c r="G475" s="37"/>
      <c r="H475" s="38"/>
      <c r="I475" s="37"/>
      <c r="J475" s="38"/>
      <c r="K475" s="37"/>
      <c r="L475" s="38"/>
      <c r="M475" s="37"/>
      <c r="N475" s="38"/>
      <c r="O475" s="37"/>
      <c r="P475" s="38"/>
      <c r="Q475" s="37"/>
      <c r="R475" s="37"/>
      <c r="S475" s="37"/>
    </row>
    <row r="476" spans="1:19" x14ac:dyDescent="0.25">
      <c r="A476" s="37"/>
      <c r="C476" s="37"/>
      <c r="D476" s="38"/>
      <c r="E476" s="37"/>
      <c r="F476" s="38"/>
      <c r="G476" s="37"/>
      <c r="H476" s="38"/>
      <c r="I476" s="37"/>
      <c r="J476" s="38"/>
      <c r="K476" s="37"/>
      <c r="L476" s="38"/>
      <c r="M476" s="37"/>
      <c r="N476" s="38"/>
      <c r="O476" s="37"/>
      <c r="P476" s="38"/>
      <c r="Q476" s="37"/>
      <c r="R476" s="37"/>
      <c r="S476" s="37"/>
    </row>
    <row r="477" spans="1:19" x14ac:dyDescent="0.25">
      <c r="A477" s="37"/>
      <c r="C477" s="37"/>
      <c r="D477" s="38"/>
      <c r="E477" s="37"/>
      <c r="F477" s="38"/>
      <c r="G477" s="37"/>
      <c r="H477" s="38"/>
      <c r="I477" s="37"/>
      <c r="J477" s="38"/>
      <c r="K477" s="37"/>
      <c r="L477" s="38"/>
      <c r="M477" s="37"/>
      <c r="N477" s="38"/>
      <c r="O477" s="37"/>
      <c r="P477" s="38"/>
      <c r="Q477" s="37"/>
      <c r="R477" s="37"/>
      <c r="S477" s="37"/>
    </row>
    <row r="478" spans="1:19" x14ac:dyDescent="0.25">
      <c r="A478" s="37"/>
      <c r="C478" s="37"/>
      <c r="D478" s="38"/>
      <c r="E478" s="37"/>
      <c r="F478" s="38"/>
      <c r="G478" s="37"/>
      <c r="H478" s="38"/>
      <c r="I478" s="37"/>
      <c r="J478" s="38"/>
      <c r="K478" s="37"/>
      <c r="L478" s="38"/>
      <c r="M478" s="37"/>
      <c r="N478" s="38"/>
      <c r="O478" s="37"/>
      <c r="P478" s="38"/>
      <c r="Q478" s="37"/>
      <c r="R478" s="37"/>
      <c r="S478" s="37"/>
    </row>
    <row r="479" spans="1:19" x14ac:dyDescent="0.25">
      <c r="A479" s="37"/>
      <c r="C479" s="37"/>
      <c r="D479" s="38"/>
      <c r="E479" s="37"/>
      <c r="F479" s="38"/>
      <c r="G479" s="37"/>
      <c r="H479" s="38"/>
      <c r="I479" s="37"/>
      <c r="J479" s="38"/>
      <c r="K479" s="37"/>
      <c r="L479" s="38"/>
      <c r="M479" s="37"/>
      <c r="N479" s="38"/>
      <c r="O479" s="37"/>
      <c r="P479" s="38"/>
      <c r="Q479" s="37"/>
      <c r="R479" s="37"/>
      <c r="S479" s="37"/>
    </row>
    <row r="480" spans="1:19" x14ac:dyDescent="0.25">
      <c r="A480" s="37"/>
      <c r="C480" s="37"/>
      <c r="D480" s="38"/>
      <c r="E480" s="37"/>
      <c r="F480" s="38"/>
      <c r="G480" s="37"/>
      <c r="H480" s="38"/>
      <c r="I480" s="37"/>
      <c r="J480" s="38"/>
      <c r="K480" s="37"/>
      <c r="L480" s="38"/>
      <c r="M480" s="37"/>
      <c r="N480" s="38"/>
      <c r="O480" s="37"/>
      <c r="P480" s="38"/>
      <c r="Q480" s="37"/>
      <c r="R480" s="37"/>
      <c r="S480" s="37"/>
    </row>
    <row r="481" spans="1:19" x14ac:dyDescent="0.25">
      <c r="A481" s="37"/>
      <c r="C481" s="37"/>
      <c r="D481" s="38"/>
      <c r="E481" s="37"/>
      <c r="F481" s="38"/>
      <c r="G481" s="37"/>
      <c r="H481" s="38"/>
      <c r="I481" s="37"/>
      <c r="J481" s="38"/>
      <c r="K481" s="37"/>
      <c r="L481" s="38"/>
      <c r="M481" s="37"/>
      <c r="N481" s="38"/>
      <c r="O481" s="37"/>
      <c r="P481" s="38"/>
      <c r="Q481" s="37"/>
      <c r="R481" s="37"/>
      <c r="S481" s="37"/>
    </row>
    <row r="482" spans="1:19" x14ac:dyDescent="0.25">
      <c r="A482" s="37"/>
      <c r="C482" s="37"/>
      <c r="D482" s="38"/>
      <c r="E482" s="37"/>
      <c r="F482" s="38"/>
      <c r="G482" s="37"/>
      <c r="H482" s="38"/>
      <c r="I482" s="37"/>
      <c r="J482" s="38"/>
      <c r="K482" s="37"/>
      <c r="L482" s="38"/>
      <c r="M482" s="37"/>
      <c r="N482" s="38"/>
      <c r="O482" s="37"/>
      <c r="P482" s="38"/>
      <c r="Q482" s="37"/>
      <c r="R482" s="37"/>
      <c r="S482" s="37"/>
    </row>
    <row r="483" spans="1:19" x14ac:dyDescent="0.25">
      <c r="A483" s="37"/>
      <c r="C483" s="37"/>
      <c r="D483" s="38"/>
      <c r="E483" s="37"/>
      <c r="F483" s="38"/>
      <c r="G483" s="37"/>
      <c r="H483" s="38"/>
      <c r="I483" s="37"/>
      <c r="J483" s="38"/>
      <c r="K483" s="37"/>
      <c r="L483" s="38"/>
      <c r="M483" s="37"/>
      <c r="N483" s="38"/>
      <c r="O483" s="37"/>
      <c r="P483" s="38"/>
      <c r="Q483" s="37"/>
      <c r="R483" s="37"/>
      <c r="S483" s="37"/>
    </row>
    <row r="484" spans="1:19" x14ac:dyDescent="0.25">
      <c r="A484" s="37"/>
      <c r="C484" s="37"/>
      <c r="D484" s="38"/>
      <c r="E484" s="37"/>
      <c r="F484" s="38"/>
      <c r="G484" s="37"/>
      <c r="H484" s="38"/>
      <c r="I484" s="37"/>
      <c r="J484" s="38"/>
      <c r="K484" s="37"/>
      <c r="L484" s="38"/>
      <c r="M484" s="37"/>
      <c r="N484" s="38"/>
      <c r="O484" s="37"/>
      <c r="P484" s="38"/>
      <c r="Q484" s="37"/>
      <c r="R484" s="37"/>
      <c r="S484" s="37"/>
    </row>
    <row r="485" spans="1:19" x14ac:dyDescent="0.25">
      <c r="A485" s="37"/>
      <c r="C485" s="37"/>
      <c r="D485" s="38"/>
      <c r="E485" s="37"/>
      <c r="F485" s="38"/>
      <c r="G485" s="37"/>
      <c r="H485" s="38"/>
      <c r="I485" s="37"/>
      <c r="J485" s="38"/>
      <c r="K485" s="37"/>
      <c r="L485" s="38"/>
      <c r="M485" s="37"/>
      <c r="N485" s="38"/>
      <c r="O485" s="37"/>
      <c r="P485" s="38"/>
      <c r="Q485" s="37"/>
      <c r="R485" s="37"/>
      <c r="S485" s="37"/>
    </row>
    <row r="486" spans="1:19" x14ac:dyDescent="0.25">
      <c r="A486" s="37"/>
      <c r="C486" s="37"/>
      <c r="D486" s="38"/>
      <c r="E486" s="37"/>
      <c r="F486" s="38"/>
      <c r="G486" s="37"/>
      <c r="H486" s="38"/>
      <c r="I486" s="37"/>
      <c r="J486" s="38"/>
      <c r="K486" s="37"/>
      <c r="L486" s="38"/>
      <c r="M486" s="37"/>
      <c r="N486" s="38"/>
      <c r="O486" s="37"/>
      <c r="P486" s="38"/>
      <c r="Q486" s="37"/>
      <c r="R486" s="37"/>
      <c r="S486" s="37"/>
    </row>
    <row r="487" spans="1:19" x14ac:dyDescent="0.25">
      <c r="A487" s="37"/>
      <c r="C487" s="37"/>
      <c r="D487" s="38"/>
      <c r="E487" s="37"/>
      <c r="F487" s="38"/>
      <c r="G487" s="37"/>
      <c r="H487" s="38"/>
      <c r="I487" s="37"/>
      <c r="J487" s="38"/>
      <c r="K487" s="37"/>
      <c r="L487" s="38"/>
      <c r="M487" s="37"/>
      <c r="N487" s="38"/>
      <c r="O487" s="37"/>
      <c r="P487" s="38"/>
      <c r="Q487" s="37"/>
      <c r="R487" s="37"/>
      <c r="S487" s="37"/>
    </row>
    <row r="488" spans="1:19" x14ac:dyDescent="0.25">
      <c r="A488" s="37"/>
      <c r="C488" s="37"/>
      <c r="D488" s="38"/>
      <c r="E488" s="37"/>
      <c r="F488" s="38"/>
      <c r="G488" s="37"/>
      <c r="H488" s="38"/>
      <c r="I488" s="37"/>
      <c r="J488" s="38"/>
      <c r="K488" s="37"/>
      <c r="L488" s="38"/>
      <c r="M488" s="37"/>
      <c r="N488" s="38"/>
      <c r="O488" s="37"/>
      <c r="P488" s="38"/>
      <c r="Q488" s="37"/>
      <c r="R488" s="37"/>
      <c r="S488" s="37"/>
    </row>
    <row r="489" spans="1:19" x14ac:dyDescent="0.25">
      <c r="A489" s="37"/>
      <c r="C489" s="37"/>
      <c r="D489" s="38"/>
      <c r="E489" s="37"/>
      <c r="F489" s="38"/>
      <c r="G489" s="37"/>
      <c r="H489" s="38"/>
      <c r="I489" s="37"/>
      <c r="J489" s="38"/>
      <c r="K489" s="37"/>
      <c r="L489" s="38"/>
      <c r="M489" s="37"/>
      <c r="N489" s="38"/>
      <c r="O489" s="37"/>
      <c r="P489" s="38"/>
      <c r="Q489" s="37"/>
      <c r="R489" s="37"/>
      <c r="S489" s="37"/>
    </row>
    <row r="490" spans="1:19" x14ac:dyDescent="0.25">
      <c r="A490" s="37"/>
      <c r="C490" s="37"/>
      <c r="D490" s="38"/>
      <c r="E490" s="37"/>
      <c r="F490" s="38"/>
      <c r="G490" s="37"/>
      <c r="H490" s="38"/>
      <c r="I490" s="37"/>
      <c r="J490" s="38"/>
      <c r="K490" s="37"/>
      <c r="L490" s="38"/>
      <c r="M490" s="37"/>
      <c r="N490" s="38"/>
      <c r="O490" s="37"/>
      <c r="P490" s="38"/>
      <c r="Q490" s="37"/>
      <c r="R490" s="37"/>
      <c r="S490" s="37"/>
    </row>
    <row r="491" spans="1:19" x14ac:dyDescent="0.25">
      <c r="A491" s="37"/>
      <c r="C491" s="37"/>
      <c r="D491" s="38"/>
      <c r="E491" s="37"/>
      <c r="F491" s="38"/>
      <c r="G491" s="37"/>
      <c r="H491" s="38"/>
      <c r="I491" s="37"/>
      <c r="J491" s="38"/>
      <c r="K491" s="37"/>
      <c r="L491" s="38"/>
      <c r="M491" s="37"/>
      <c r="N491" s="38"/>
      <c r="O491" s="37"/>
      <c r="P491" s="38"/>
      <c r="Q491" s="37"/>
      <c r="R491" s="37"/>
      <c r="S491" s="37"/>
    </row>
    <row r="492" spans="1:19" x14ac:dyDescent="0.25">
      <c r="A492" s="37"/>
      <c r="C492" s="37"/>
      <c r="D492" s="38"/>
      <c r="E492" s="37"/>
      <c r="F492" s="38"/>
      <c r="G492" s="37"/>
      <c r="H492" s="38"/>
      <c r="I492" s="37"/>
      <c r="J492" s="38"/>
      <c r="K492" s="37"/>
      <c r="L492" s="38"/>
      <c r="M492" s="37"/>
      <c r="N492" s="38"/>
      <c r="O492" s="37"/>
      <c r="P492" s="38"/>
      <c r="Q492" s="37"/>
      <c r="R492" s="37"/>
      <c r="S492" s="37"/>
    </row>
    <row r="493" spans="1:19" x14ac:dyDescent="0.25">
      <c r="A493" s="37"/>
      <c r="C493" s="37"/>
      <c r="D493" s="38"/>
      <c r="E493" s="37"/>
      <c r="F493" s="38"/>
      <c r="G493" s="37"/>
      <c r="H493" s="38"/>
      <c r="I493" s="37"/>
      <c r="J493" s="38"/>
      <c r="K493" s="37"/>
      <c r="L493" s="38"/>
      <c r="M493" s="37"/>
      <c r="N493" s="38"/>
      <c r="O493" s="37"/>
      <c r="P493" s="38"/>
      <c r="Q493" s="37"/>
      <c r="R493" s="37"/>
      <c r="S493" s="37"/>
    </row>
    <row r="494" spans="1:19" x14ac:dyDescent="0.25">
      <c r="A494" s="37"/>
      <c r="C494" s="37"/>
      <c r="D494" s="38"/>
      <c r="E494" s="37"/>
      <c r="F494" s="38"/>
      <c r="G494" s="37"/>
      <c r="H494" s="38"/>
      <c r="I494" s="37"/>
      <c r="J494" s="38"/>
      <c r="K494" s="37"/>
      <c r="L494" s="38"/>
      <c r="M494" s="37"/>
      <c r="N494" s="38"/>
      <c r="O494" s="37"/>
      <c r="P494" s="38"/>
      <c r="Q494" s="37"/>
      <c r="R494" s="37"/>
      <c r="S494" s="37"/>
    </row>
    <row r="495" spans="1:19" x14ac:dyDescent="0.25">
      <c r="A495" s="37"/>
      <c r="C495" s="37"/>
      <c r="D495" s="38"/>
      <c r="E495" s="37"/>
      <c r="F495" s="38"/>
      <c r="G495" s="37"/>
      <c r="H495" s="38"/>
      <c r="I495" s="37"/>
      <c r="J495" s="38"/>
      <c r="K495" s="37"/>
      <c r="L495" s="38"/>
      <c r="M495" s="37"/>
      <c r="N495" s="38"/>
      <c r="O495" s="37"/>
      <c r="P495" s="38"/>
      <c r="Q495" s="37"/>
      <c r="R495" s="37"/>
      <c r="S495" s="37"/>
    </row>
    <row r="496" spans="1:19" x14ac:dyDescent="0.25">
      <c r="A496" s="37"/>
      <c r="C496" s="37"/>
      <c r="D496" s="38"/>
      <c r="E496" s="37"/>
      <c r="F496" s="38"/>
      <c r="G496" s="37"/>
      <c r="H496" s="38"/>
      <c r="I496" s="37"/>
      <c r="J496" s="38"/>
      <c r="K496" s="37"/>
      <c r="L496" s="38"/>
      <c r="M496" s="37"/>
      <c r="N496" s="38"/>
      <c r="O496" s="37"/>
      <c r="P496" s="38"/>
      <c r="Q496" s="37"/>
      <c r="R496" s="37"/>
      <c r="S496" s="37"/>
    </row>
    <row r="497" spans="1:19" x14ac:dyDescent="0.25">
      <c r="A497" s="37"/>
      <c r="C497" s="37"/>
      <c r="D497" s="38"/>
      <c r="E497" s="37"/>
      <c r="F497" s="38"/>
      <c r="G497" s="37"/>
      <c r="H497" s="38"/>
      <c r="I497" s="37"/>
      <c r="J497" s="38"/>
      <c r="K497" s="37"/>
      <c r="L497" s="38"/>
      <c r="M497" s="37"/>
      <c r="N497" s="38"/>
      <c r="O497" s="37"/>
      <c r="P497" s="38"/>
      <c r="Q497" s="37"/>
      <c r="R497" s="37"/>
      <c r="S497" s="37"/>
    </row>
    <row r="498" spans="1:19" x14ac:dyDescent="0.25">
      <c r="A498" s="37"/>
      <c r="C498" s="37"/>
      <c r="D498" s="38"/>
      <c r="E498" s="37"/>
      <c r="F498" s="38"/>
      <c r="G498" s="37"/>
      <c r="H498" s="38"/>
      <c r="I498" s="37"/>
      <c r="J498" s="38"/>
      <c r="K498" s="37"/>
      <c r="L498" s="38"/>
      <c r="M498" s="37"/>
      <c r="N498" s="38"/>
      <c r="O498" s="37"/>
      <c r="P498" s="38"/>
      <c r="Q498" s="37"/>
      <c r="R498" s="37"/>
      <c r="S498" s="37"/>
    </row>
    <row r="499" spans="1:19" x14ac:dyDescent="0.25">
      <c r="A499" s="37"/>
      <c r="C499" s="37"/>
      <c r="D499" s="38"/>
      <c r="E499" s="37"/>
      <c r="F499" s="38"/>
      <c r="G499" s="37"/>
      <c r="H499" s="38"/>
      <c r="I499" s="37"/>
      <c r="J499" s="38"/>
      <c r="K499" s="37"/>
      <c r="L499" s="38"/>
      <c r="M499" s="37"/>
      <c r="N499" s="38"/>
      <c r="O499" s="37"/>
      <c r="P499" s="38"/>
      <c r="Q499" s="37"/>
      <c r="R499" s="37"/>
      <c r="S499" s="37"/>
    </row>
    <row r="500" spans="1:19" x14ac:dyDescent="0.25">
      <c r="A500" s="37"/>
      <c r="C500" s="37"/>
      <c r="D500" s="38"/>
      <c r="E500" s="37"/>
      <c r="F500" s="38"/>
      <c r="G500" s="37"/>
      <c r="H500" s="38"/>
      <c r="I500" s="37"/>
      <c r="J500" s="38"/>
      <c r="K500" s="37"/>
      <c r="L500" s="38"/>
      <c r="M500" s="37"/>
      <c r="N500" s="38"/>
      <c r="O500" s="37"/>
      <c r="P500" s="38"/>
      <c r="Q500" s="37"/>
      <c r="R500" s="37"/>
      <c r="S500" s="37"/>
    </row>
    <row r="501" spans="1:19" x14ac:dyDescent="0.25">
      <c r="A501" s="37"/>
      <c r="C501" s="37"/>
      <c r="D501" s="38"/>
      <c r="E501" s="37"/>
      <c r="F501" s="38"/>
      <c r="G501" s="37"/>
      <c r="H501" s="38"/>
      <c r="I501" s="37"/>
      <c r="J501" s="38"/>
      <c r="K501" s="37"/>
      <c r="L501" s="38"/>
      <c r="M501" s="37"/>
      <c r="N501" s="38"/>
      <c r="O501" s="37"/>
      <c r="P501" s="38"/>
      <c r="Q501" s="37"/>
      <c r="R501" s="37"/>
      <c r="S501" s="37"/>
    </row>
    <row r="502" spans="1:19" x14ac:dyDescent="0.25">
      <c r="A502" s="37"/>
      <c r="C502" s="37"/>
      <c r="D502" s="38"/>
      <c r="E502" s="37"/>
      <c r="F502" s="38"/>
      <c r="G502" s="37"/>
      <c r="H502" s="38"/>
      <c r="I502" s="37"/>
      <c r="J502" s="38"/>
      <c r="K502" s="37"/>
      <c r="L502" s="38"/>
      <c r="M502" s="37"/>
      <c r="N502" s="38"/>
      <c r="O502" s="37"/>
      <c r="P502" s="38"/>
      <c r="Q502" s="37"/>
      <c r="R502" s="37"/>
      <c r="S502" s="37"/>
    </row>
    <row r="503" spans="1:19" x14ac:dyDescent="0.25">
      <c r="A503" s="37"/>
      <c r="C503" s="37"/>
      <c r="D503" s="38"/>
      <c r="E503" s="37"/>
      <c r="F503" s="38"/>
      <c r="G503" s="37"/>
      <c r="H503" s="38"/>
      <c r="I503" s="37"/>
      <c r="J503" s="38"/>
      <c r="K503" s="37"/>
      <c r="L503" s="38"/>
      <c r="M503" s="37"/>
      <c r="N503" s="38"/>
      <c r="O503" s="37"/>
      <c r="P503" s="38"/>
      <c r="Q503" s="37"/>
      <c r="R503" s="37"/>
      <c r="S503" s="37"/>
    </row>
    <row r="504" spans="1:19" x14ac:dyDescent="0.25">
      <c r="A504" s="37"/>
      <c r="C504" s="37"/>
      <c r="D504" s="38"/>
      <c r="E504" s="37"/>
      <c r="F504" s="38"/>
      <c r="G504" s="37"/>
      <c r="H504" s="38"/>
      <c r="I504" s="37"/>
      <c r="J504" s="38"/>
      <c r="K504" s="37"/>
      <c r="L504" s="38"/>
      <c r="M504" s="37"/>
      <c r="N504" s="38"/>
      <c r="O504" s="37"/>
      <c r="P504" s="38"/>
      <c r="Q504" s="37"/>
      <c r="R504" s="37"/>
      <c r="S504" s="37"/>
    </row>
    <row r="505" spans="1:19" x14ac:dyDescent="0.25">
      <c r="A505" s="37"/>
      <c r="C505" s="37"/>
      <c r="D505" s="38"/>
      <c r="E505" s="37"/>
      <c r="F505" s="38"/>
      <c r="G505" s="37"/>
      <c r="H505" s="38"/>
      <c r="I505" s="37"/>
      <c r="J505" s="38"/>
      <c r="K505" s="37"/>
      <c r="L505" s="38"/>
      <c r="M505" s="37"/>
      <c r="N505" s="38"/>
      <c r="O505" s="37"/>
      <c r="P505" s="38"/>
      <c r="Q505" s="37"/>
      <c r="R505" s="37"/>
      <c r="S505" s="37"/>
    </row>
    <row r="506" spans="1:19" x14ac:dyDescent="0.25">
      <c r="A506" s="37"/>
      <c r="C506" s="37"/>
      <c r="D506" s="38"/>
      <c r="E506" s="37"/>
      <c r="F506" s="38"/>
      <c r="G506" s="37"/>
      <c r="H506" s="38"/>
      <c r="I506" s="37"/>
      <c r="J506" s="38"/>
      <c r="K506" s="37"/>
      <c r="L506" s="38"/>
      <c r="M506" s="37"/>
      <c r="N506" s="38"/>
      <c r="O506" s="37"/>
      <c r="P506" s="38"/>
      <c r="Q506" s="37"/>
      <c r="R506" s="37"/>
      <c r="S506" s="37"/>
    </row>
    <row r="507" spans="1:19" x14ac:dyDescent="0.25">
      <c r="A507" s="37"/>
      <c r="C507" s="37"/>
      <c r="D507" s="38"/>
      <c r="E507" s="37"/>
      <c r="F507" s="38"/>
      <c r="G507" s="37"/>
      <c r="H507" s="38"/>
      <c r="I507" s="37"/>
      <c r="J507" s="38"/>
      <c r="K507" s="37"/>
      <c r="L507" s="38"/>
      <c r="M507" s="37"/>
      <c r="N507" s="38"/>
      <c r="O507" s="37"/>
      <c r="P507" s="38"/>
      <c r="Q507" s="37"/>
      <c r="R507" s="37"/>
      <c r="S507" s="37"/>
    </row>
    <row r="508" spans="1:19" x14ac:dyDescent="0.25">
      <c r="A508" s="37"/>
      <c r="C508" s="37"/>
      <c r="D508" s="38"/>
      <c r="E508" s="37"/>
      <c r="F508" s="38"/>
      <c r="G508" s="37"/>
      <c r="H508" s="38"/>
      <c r="I508" s="37"/>
      <c r="J508" s="38"/>
      <c r="K508" s="37"/>
      <c r="L508" s="38"/>
      <c r="M508" s="37"/>
      <c r="N508" s="38"/>
      <c r="O508" s="37"/>
      <c r="P508" s="38"/>
      <c r="Q508" s="37"/>
      <c r="R508" s="37"/>
      <c r="S508" s="37"/>
    </row>
    <row r="509" spans="1:19" x14ac:dyDescent="0.25">
      <c r="A509" s="37"/>
      <c r="C509" s="37"/>
      <c r="D509" s="38"/>
      <c r="E509" s="37"/>
      <c r="F509" s="38"/>
      <c r="G509" s="37"/>
      <c r="H509" s="38"/>
      <c r="I509" s="37"/>
      <c r="J509" s="38"/>
      <c r="K509" s="37"/>
      <c r="L509" s="38"/>
      <c r="M509" s="37"/>
      <c r="N509" s="38"/>
      <c r="O509" s="37"/>
      <c r="P509" s="38"/>
      <c r="Q509" s="37"/>
      <c r="R509" s="37"/>
      <c r="S509" s="37"/>
    </row>
    <row r="510" spans="1:19" x14ac:dyDescent="0.25">
      <c r="A510" s="37"/>
      <c r="C510" s="37"/>
      <c r="D510" s="38"/>
      <c r="E510" s="37"/>
      <c r="F510" s="38"/>
      <c r="G510" s="37"/>
      <c r="H510" s="38"/>
      <c r="I510" s="37"/>
      <c r="J510" s="38"/>
      <c r="K510" s="37"/>
      <c r="L510" s="38"/>
      <c r="M510" s="37"/>
      <c r="N510" s="38"/>
      <c r="O510" s="37"/>
      <c r="P510" s="38"/>
      <c r="Q510" s="37"/>
      <c r="R510" s="37"/>
      <c r="S510" s="37"/>
    </row>
    <row r="511" spans="1:19" x14ac:dyDescent="0.25">
      <c r="A511" s="37"/>
      <c r="C511" s="37"/>
      <c r="D511" s="38"/>
      <c r="E511" s="37"/>
      <c r="F511" s="38"/>
      <c r="G511" s="37"/>
      <c r="H511" s="38"/>
      <c r="I511" s="37"/>
      <c r="J511" s="38"/>
      <c r="K511" s="37"/>
      <c r="L511" s="38"/>
      <c r="M511" s="37"/>
      <c r="N511" s="38"/>
      <c r="O511" s="37"/>
      <c r="P511" s="38"/>
      <c r="Q511" s="37"/>
      <c r="R511" s="37"/>
      <c r="S511" s="37"/>
    </row>
    <row r="512" spans="1:19" x14ac:dyDescent="0.25">
      <c r="A512" s="37"/>
      <c r="C512" s="37"/>
      <c r="D512" s="38"/>
      <c r="E512" s="37"/>
      <c r="F512" s="38"/>
      <c r="G512" s="37"/>
      <c r="H512" s="38"/>
      <c r="I512" s="37"/>
      <c r="J512" s="38"/>
      <c r="K512" s="37"/>
      <c r="L512" s="38"/>
      <c r="M512" s="37"/>
      <c r="N512" s="38"/>
      <c r="O512" s="37"/>
      <c r="P512" s="38"/>
      <c r="Q512" s="37"/>
      <c r="R512" s="37"/>
      <c r="S512" s="37"/>
    </row>
    <row r="513" spans="1:19" x14ac:dyDescent="0.25">
      <c r="A513" s="37"/>
      <c r="C513" s="37"/>
      <c r="D513" s="38"/>
      <c r="E513" s="37"/>
      <c r="F513" s="38"/>
      <c r="G513" s="37"/>
      <c r="H513" s="38"/>
      <c r="I513" s="37"/>
      <c r="J513" s="38"/>
      <c r="K513" s="37"/>
      <c r="L513" s="38"/>
      <c r="M513" s="37"/>
      <c r="N513" s="38"/>
      <c r="O513" s="37"/>
      <c r="P513" s="38"/>
      <c r="Q513" s="37"/>
      <c r="R513" s="37"/>
      <c r="S513" s="37"/>
    </row>
    <row r="514" spans="1:19" x14ac:dyDescent="0.25">
      <c r="A514" s="37"/>
      <c r="C514" s="37"/>
      <c r="D514" s="38"/>
      <c r="E514" s="37"/>
      <c r="F514" s="38"/>
      <c r="G514" s="37"/>
      <c r="H514" s="38"/>
      <c r="I514" s="37"/>
      <c r="J514" s="38"/>
      <c r="K514" s="37"/>
      <c r="L514" s="38"/>
      <c r="M514" s="37"/>
      <c r="N514" s="38"/>
      <c r="O514" s="37"/>
      <c r="P514" s="38"/>
      <c r="Q514" s="37"/>
      <c r="R514" s="37"/>
      <c r="S514" s="37"/>
    </row>
    <row r="515" spans="1:19" x14ac:dyDescent="0.25">
      <c r="A515" s="37"/>
      <c r="C515" s="37"/>
      <c r="D515" s="38"/>
      <c r="E515" s="37"/>
      <c r="F515" s="38"/>
      <c r="G515" s="37"/>
      <c r="H515" s="38"/>
      <c r="I515" s="37"/>
      <c r="J515" s="38"/>
      <c r="K515" s="37"/>
      <c r="L515" s="38"/>
      <c r="M515" s="37"/>
      <c r="N515" s="38"/>
      <c r="O515" s="37"/>
      <c r="P515" s="38"/>
      <c r="Q515" s="37"/>
      <c r="R515" s="37"/>
      <c r="S515" s="37"/>
    </row>
    <row r="516" spans="1:19" x14ac:dyDescent="0.25">
      <c r="A516" s="37"/>
      <c r="C516" s="37"/>
      <c r="D516" s="38"/>
      <c r="E516" s="37"/>
      <c r="F516" s="38"/>
      <c r="G516" s="37"/>
      <c r="H516" s="38"/>
      <c r="I516" s="37"/>
      <c r="J516" s="38"/>
      <c r="K516" s="37"/>
      <c r="L516" s="38"/>
      <c r="M516" s="37"/>
      <c r="N516" s="38"/>
      <c r="O516" s="37"/>
      <c r="P516" s="38"/>
      <c r="Q516" s="37"/>
      <c r="R516" s="37"/>
      <c r="S516" s="37"/>
    </row>
    <row r="517" spans="1:19" x14ac:dyDescent="0.25">
      <c r="A517" s="37"/>
      <c r="C517" s="37"/>
      <c r="D517" s="38"/>
      <c r="E517" s="37"/>
      <c r="F517" s="38"/>
      <c r="G517" s="37"/>
      <c r="H517" s="38"/>
      <c r="I517" s="37"/>
      <c r="J517" s="38"/>
      <c r="K517" s="37"/>
      <c r="L517" s="38"/>
      <c r="M517" s="37"/>
      <c r="N517" s="38"/>
      <c r="O517" s="37"/>
      <c r="P517" s="38"/>
      <c r="Q517" s="37"/>
      <c r="R517" s="37"/>
      <c r="S517" s="37"/>
    </row>
    <row r="518" spans="1:19" x14ac:dyDescent="0.25">
      <c r="A518" s="37"/>
      <c r="C518" s="37"/>
      <c r="D518" s="38"/>
      <c r="E518" s="37"/>
      <c r="F518" s="38"/>
      <c r="G518" s="37"/>
      <c r="H518" s="38"/>
      <c r="I518" s="37"/>
      <c r="J518" s="38"/>
      <c r="K518" s="37"/>
      <c r="L518" s="38"/>
      <c r="M518" s="37"/>
      <c r="N518" s="38"/>
      <c r="O518" s="37"/>
      <c r="P518" s="38"/>
      <c r="Q518" s="37"/>
      <c r="R518" s="37"/>
      <c r="S518" s="37"/>
    </row>
    <row r="519" spans="1:19" x14ac:dyDescent="0.25">
      <c r="A519" s="37"/>
      <c r="C519" s="37"/>
      <c r="D519" s="38"/>
      <c r="E519" s="37"/>
      <c r="F519" s="38"/>
      <c r="G519" s="37"/>
      <c r="H519" s="38"/>
      <c r="I519" s="37"/>
      <c r="J519" s="38"/>
      <c r="K519" s="37"/>
      <c r="L519" s="38"/>
      <c r="M519" s="37"/>
      <c r="N519" s="38"/>
      <c r="O519" s="37"/>
      <c r="P519" s="38"/>
      <c r="Q519" s="37"/>
      <c r="R519" s="37"/>
      <c r="S519" s="37"/>
    </row>
    <row r="520" spans="1:19" x14ac:dyDescent="0.25">
      <c r="A520" s="37"/>
      <c r="C520" s="37"/>
      <c r="D520" s="38"/>
      <c r="E520" s="37"/>
      <c r="F520" s="38"/>
      <c r="G520" s="37"/>
      <c r="H520" s="38"/>
      <c r="I520" s="37"/>
      <c r="J520" s="38"/>
      <c r="K520" s="37"/>
      <c r="L520" s="38"/>
      <c r="M520" s="37"/>
      <c r="N520" s="38"/>
      <c r="O520" s="37"/>
      <c r="P520" s="38"/>
      <c r="Q520" s="37"/>
      <c r="R520" s="37"/>
      <c r="S520" s="37"/>
    </row>
    <row r="521" spans="1:19" x14ac:dyDescent="0.25">
      <c r="A521" s="37"/>
      <c r="C521" s="37"/>
      <c r="D521" s="38"/>
      <c r="E521" s="37"/>
      <c r="F521" s="38"/>
      <c r="G521" s="37"/>
      <c r="H521" s="38"/>
      <c r="I521" s="37"/>
      <c r="J521" s="38"/>
      <c r="K521" s="37"/>
      <c r="L521" s="38"/>
      <c r="M521" s="37"/>
      <c r="N521" s="38"/>
      <c r="O521" s="37"/>
      <c r="P521" s="38"/>
      <c r="Q521" s="37"/>
      <c r="R521" s="37"/>
      <c r="S521" s="37"/>
    </row>
    <row r="522" spans="1:19" x14ac:dyDescent="0.25">
      <c r="A522" s="37"/>
      <c r="C522" s="37"/>
      <c r="D522" s="38"/>
      <c r="E522" s="37"/>
      <c r="F522" s="38"/>
      <c r="G522" s="37"/>
      <c r="H522" s="38"/>
      <c r="I522" s="37"/>
      <c r="J522" s="38"/>
      <c r="K522" s="37"/>
      <c r="L522" s="38"/>
      <c r="M522" s="37"/>
      <c r="N522" s="38"/>
      <c r="O522" s="37"/>
      <c r="P522" s="38"/>
      <c r="Q522" s="37"/>
      <c r="R522" s="37"/>
      <c r="S522" s="37"/>
    </row>
    <row r="523" spans="1:19" x14ac:dyDescent="0.25">
      <c r="A523" s="37"/>
      <c r="C523" s="37"/>
      <c r="D523" s="38"/>
      <c r="E523" s="37"/>
      <c r="F523" s="38"/>
      <c r="G523" s="37"/>
      <c r="H523" s="38"/>
      <c r="I523" s="37"/>
      <c r="J523" s="38"/>
      <c r="K523" s="37"/>
      <c r="L523" s="38"/>
      <c r="M523" s="37"/>
      <c r="N523" s="38"/>
      <c r="O523" s="37"/>
      <c r="P523" s="38"/>
      <c r="Q523" s="37"/>
      <c r="R523" s="37"/>
      <c r="S523" s="37"/>
    </row>
    <row r="524" spans="1:19" x14ac:dyDescent="0.25">
      <c r="A524" s="37"/>
      <c r="C524" s="37"/>
      <c r="D524" s="38"/>
      <c r="E524" s="37"/>
      <c r="F524" s="38"/>
      <c r="G524" s="37"/>
      <c r="H524" s="38"/>
      <c r="I524" s="37"/>
      <c r="J524" s="38"/>
      <c r="K524" s="37"/>
      <c r="L524" s="38"/>
      <c r="M524" s="37"/>
      <c r="N524" s="38"/>
      <c r="O524" s="37"/>
      <c r="P524" s="38"/>
      <c r="Q524" s="37"/>
      <c r="R524" s="37"/>
      <c r="S524" s="37"/>
    </row>
    <row r="525" spans="1:19" x14ac:dyDescent="0.25">
      <c r="A525" s="37"/>
      <c r="C525" s="37"/>
      <c r="D525" s="38"/>
      <c r="E525" s="37"/>
      <c r="F525" s="38"/>
      <c r="G525" s="37"/>
      <c r="H525" s="38"/>
      <c r="I525" s="37"/>
      <c r="J525" s="38"/>
      <c r="K525" s="37"/>
      <c r="L525" s="38"/>
      <c r="M525" s="37"/>
      <c r="N525" s="38"/>
      <c r="O525" s="37"/>
      <c r="P525" s="38"/>
      <c r="Q525" s="37"/>
      <c r="R525" s="37"/>
      <c r="S525" s="37"/>
    </row>
    <row r="526" spans="1:19" x14ac:dyDescent="0.25">
      <c r="A526" s="37"/>
      <c r="C526" s="37"/>
      <c r="D526" s="38"/>
      <c r="E526" s="37"/>
      <c r="F526" s="38"/>
      <c r="G526" s="37"/>
      <c r="H526" s="38"/>
      <c r="I526" s="37"/>
      <c r="J526" s="38"/>
      <c r="K526" s="37"/>
      <c r="L526" s="38"/>
      <c r="M526" s="37"/>
      <c r="N526" s="38"/>
      <c r="O526" s="37"/>
      <c r="P526" s="38"/>
      <c r="Q526" s="37"/>
      <c r="R526" s="37"/>
      <c r="S526" s="37"/>
    </row>
    <row r="527" spans="1:19" x14ac:dyDescent="0.25">
      <c r="A527" s="37"/>
      <c r="C527" s="37"/>
      <c r="D527" s="38"/>
      <c r="E527" s="37"/>
      <c r="F527" s="38"/>
      <c r="G527" s="37"/>
      <c r="H527" s="38"/>
      <c r="I527" s="37"/>
      <c r="J527" s="38"/>
      <c r="K527" s="37"/>
      <c r="L527" s="38"/>
      <c r="M527" s="37"/>
      <c r="N527" s="38"/>
      <c r="O527" s="37"/>
      <c r="P527" s="38"/>
      <c r="Q527" s="37"/>
      <c r="R527" s="37"/>
      <c r="S527" s="37"/>
    </row>
    <row r="528" spans="1:19" x14ac:dyDescent="0.25">
      <c r="A528" s="37"/>
      <c r="C528" s="37"/>
      <c r="D528" s="38"/>
      <c r="E528" s="37"/>
      <c r="F528" s="38"/>
      <c r="G528" s="37"/>
      <c r="H528" s="38"/>
      <c r="I528" s="37"/>
      <c r="J528" s="38"/>
      <c r="K528" s="37"/>
      <c r="L528" s="38"/>
      <c r="M528" s="37"/>
      <c r="N528" s="38"/>
      <c r="O528" s="37"/>
      <c r="P528" s="38"/>
      <c r="Q528" s="37"/>
      <c r="R528" s="37"/>
      <c r="S528" s="37"/>
    </row>
    <row r="529" spans="1:19" x14ac:dyDescent="0.25">
      <c r="A529" s="37"/>
      <c r="C529" s="37"/>
      <c r="D529" s="38"/>
      <c r="E529" s="37"/>
      <c r="F529" s="38"/>
      <c r="G529" s="37"/>
      <c r="H529" s="38"/>
      <c r="I529" s="37"/>
      <c r="J529" s="38"/>
      <c r="K529" s="37"/>
      <c r="L529" s="38"/>
      <c r="M529" s="37"/>
      <c r="N529" s="38"/>
      <c r="O529" s="37"/>
      <c r="P529" s="38"/>
      <c r="Q529" s="37"/>
      <c r="R529" s="37"/>
      <c r="S529" s="37"/>
    </row>
    <row r="530" spans="1:19" x14ac:dyDescent="0.25">
      <c r="A530" s="37"/>
      <c r="C530" s="37"/>
      <c r="D530" s="38"/>
      <c r="E530" s="37"/>
      <c r="F530" s="38"/>
      <c r="G530" s="37"/>
      <c r="H530" s="38"/>
      <c r="I530" s="37"/>
      <c r="J530" s="38"/>
      <c r="K530" s="37"/>
      <c r="L530" s="38"/>
      <c r="M530" s="37"/>
      <c r="N530" s="38"/>
      <c r="O530" s="37"/>
      <c r="P530" s="38"/>
      <c r="Q530" s="37"/>
      <c r="R530" s="37"/>
      <c r="S530" s="37"/>
    </row>
    <row r="531" spans="1:19" x14ac:dyDescent="0.25">
      <c r="A531" s="37"/>
      <c r="C531" s="37"/>
      <c r="D531" s="38"/>
      <c r="E531" s="37"/>
      <c r="F531" s="38"/>
      <c r="G531" s="37"/>
      <c r="H531" s="38"/>
      <c r="I531" s="37"/>
      <c r="J531" s="38"/>
      <c r="K531" s="37"/>
      <c r="L531" s="38"/>
      <c r="M531" s="37"/>
      <c r="N531" s="38"/>
      <c r="O531" s="37"/>
      <c r="P531" s="38"/>
      <c r="Q531" s="37"/>
      <c r="R531" s="37"/>
      <c r="S531" s="37"/>
    </row>
    <row r="532" spans="1:19" x14ac:dyDescent="0.25">
      <c r="A532" s="37"/>
      <c r="C532" s="37"/>
      <c r="D532" s="38"/>
      <c r="E532" s="37"/>
      <c r="F532" s="38"/>
      <c r="G532" s="37"/>
      <c r="H532" s="38"/>
      <c r="I532" s="37"/>
      <c r="J532" s="38"/>
      <c r="K532" s="37"/>
      <c r="L532" s="38"/>
      <c r="M532" s="37"/>
      <c r="N532" s="38"/>
      <c r="O532" s="37"/>
      <c r="P532" s="38"/>
      <c r="Q532" s="37"/>
      <c r="R532" s="37"/>
      <c r="S532" s="37"/>
    </row>
    <row r="533" spans="1:19" x14ac:dyDescent="0.25">
      <c r="A533" s="37"/>
      <c r="C533" s="37"/>
      <c r="D533" s="38"/>
      <c r="E533" s="37"/>
      <c r="F533" s="38"/>
      <c r="G533" s="37"/>
      <c r="H533" s="38"/>
      <c r="I533" s="37"/>
      <c r="J533" s="38"/>
      <c r="K533" s="37"/>
      <c r="L533" s="38"/>
      <c r="M533" s="37"/>
      <c r="N533" s="38"/>
      <c r="O533" s="37"/>
      <c r="P533" s="38"/>
      <c r="Q533" s="37"/>
      <c r="R533" s="37"/>
      <c r="S533" s="37"/>
    </row>
    <row r="534" spans="1:19" x14ac:dyDescent="0.25">
      <c r="A534" s="37"/>
      <c r="C534" s="37"/>
      <c r="D534" s="38"/>
      <c r="E534" s="37"/>
      <c r="F534" s="38"/>
      <c r="G534" s="37"/>
      <c r="H534" s="38"/>
      <c r="I534" s="37"/>
      <c r="J534" s="38"/>
      <c r="K534" s="37"/>
      <c r="L534" s="38"/>
      <c r="M534" s="37"/>
      <c r="N534" s="38"/>
      <c r="O534" s="37"/>
      <c r="P534" s="38"/>
      <c r="Q534" s="37"/>
      <c r="R534" s="37"/>
      <c r="S534" s="37"/>
    </row>
    <row r="535" spans="1:19" x14ac:dyDescent="0.25">
      <c r="A535" s="37"/>
      <c r="C535" s="37"/>
      <c r="D535" s="38"/>
      <c r="E535" s="37"/>
      <c r="F535" s="38"/>
      <c r="G535" s="37"/>
      <c r="H535" s="38"/>
      <c r="I535" s="37"/>
      <c r="J535" s="38"/>
      <c r="K535" s="37"/>
      <c r="L535" s="38"/>
      <c r="M535" s="37"/>
      <c r="N535" s="38"/>
      <c r="O535" s="37"/>
      <c r="P535" s="38"/>
      <c r="Q535" s="37"/>
      <c r="R535" s="37"/>
      <c r="S535" s="37"/>
    </row>
    <row r="536" spans="1:19" x14ac:dyDescent="0.25">
      <c r="A536" s="37"/>
      <c r="C536" s="37"/>
      <c r="D536" s="38"/>
      <c r="E536" s="37"/>
      <c r="F536" s="38"/>
      <c r="G536" s="37"/>
      <c r="H536" s="38"/>
      <c r="I536" s="37"/>
      <c r="J536" s="38"/>
      <c r="K536" s="37"/>
      <c r="L536" s="38"/>
      <c r="M536" s="37"/>
      <c r="N536" s="38"/>
      <c r="O536" s="37"/>
      <c r="P536" s="38"/>
      <c r="Q536" s="37"/>
      <c r="R536" s="37"/>
      <c r="S536" s="37"/>
    </row>
    <row r="537" spans="1:19" x14ac:dyDescent="0.25">
      <c r="A537" s="37"/>
      <c r="C537" s="37"/>
      <c r="D537" s="38"/>
      <c r="E537" s="37"/>
      <c r="F537" s="38"/>
      <c r="G537" s="37"/>
      <c r="H537" s="38"/>
      <c r="I537" s="37"/>
      <c r="J537" s="38"/>
      <c r="K537" s="37"/>
      <c r="L537" s="38"/>
      <c r="M537" s="37"/>
      <c r="N537" s="38"/>
      <c r="O537" s="37"/>
      <c r="P537" s="38"/>
      <c r="Q537" s="37"/>
      <c r="R537" s="37"/>
      <c r="S537" s="37"/>
    </row>
    <row r="538" spans="1:19" x14ac:dyDescent="0.25">
      <c r="A538" s="37"/>
      <c r="C538" s="37"/>
      <c r="D538" s="38"/>
      <c r="E538" s="37"/>
      <c r="F538" s="38"/>
      <c r="G538" s="37"/>
      <c r="H538" s="38"/>
      <c r="I538" s="37"/>
      <c r="J538" s="38"/>
      <c r="K538" s="37"/>
      <c r="L538" s="38"/>
      <c r="M538" s="37"/>
      <c r="N538" s="38"/>
      <c r="O538" s="37"/>
      <c r="P538" s="38"/>
      <c r="Q538" s="37"/>
      <c r="R538" s="37"/>
      <c r="S538" s="37"/>
    </row>
    <row r="539" spans="1:19" x14ac:dyDescent="0.25">
      <c r="A539" s="37"/>
      <c r="C539" s="37"/>
      <c r="D539" s="38"/>
      <c r="E539" s="37"/>
      <c r="F539" s="38"/>
      <c r="G539" s="37"/>
      <c r="H539" s="38"/>
      <c r="I539" s="37"/>
      <c r="J539" s="38"/>
      <c r="K539" s="37"/>
      <c r="L539" s="38"/>
      <c r="M539" s="37"/>
      <c r="N539" s="38"/>
      <c r="O539" s="37"/>
      <c r="P539" s="38"/>
      <c r="Q539" s="37"/>
      <c r="R539" s="37"/>
      <c r="S539" s="37"/>
    </row>
    <row r="540" spans="1:19" x14ac:dyDescent="0.25">
      <c r="A540" s="37"/>
      <c r="C540" s="37"/>
      <c r="D540" s="38"/>
      <c r="E540" s="37"/>
      <c r="F540" s="38"/>
      <c r="G540" s="37"/>
      <c r="H540" s="38"/>
      <c r="I540" s="37"/>
      <c r="J540" s="38"/>
      <c r="K540" s="37"/>
      <c r="L540" s="38"/>
      <c r="M540" s="37"/>
      <c r="N540" s="38"/>
      <c r="O540" s="37"/>
      <c r="P540" s="38"/>
      <c r="Q540" s="37"/>
      <c r="R540" s="37"/>
      <c r="S540" s="37"/>
    </row>
    <row r="541" spans="1:19" x14ac:dyDescent="0.25">
      <c r="A541" s="37"/>
      <c r="C541" s="37"/>
      <c r="D541" s="38"/>
      <c r="E541" s="37"/>
      <c r="F541" s="38"/>
      <c r="G541" s="37"/>
      <c r="H541" s="38"/>
      <c r="I541" s="37"/>
      <c r="J541" s="38"/>
      <c r="K541" s="37"/>
      <c r="L541" s="38"/>
      <c r="M541" s="37"/>
      <c r="N541" s="38"/>
      <c r="O541" s="37"/>
      <c r="P541" s="38"/>
      <c r="Q541" s="37"/>
      <c r="R541" s="37"/>
      <c r="S541" s="37"/>
    </row>
    <row r="542" spans="1:19" x14ac:dyDescent="0.25">
      <c r="A542" s="37"/>
      <c r="C542" s="37"/>
      <c r="D542" s="38"/>
      <c r="E542" s="37"/>
      <c r="F542" s="38"/>
      <c r="G542" s="37"/>
      <c r="H542" s="38"/>
      <c r="I542" s="37"/>
      <c r="J542" s="38"/>
      <c r="K542" s="37"/>
      <c r="L542" s="38"/>
      <c r="M542" s="37"/>
      <c r="N542" s="38"/>
      <c r="O542" s="37"/>
      <c r="P542" s="38"/>
      <c r="Q542" s="37"/>
      <c r="R542" s="37"/>
      <c r="S542" s="37"/>
    </row>
    <row r="543" spans="1:19" x14ac:dyDescent="0.25">
      <c r="A543" s="37"/>
      <c r="C543" s="37"/>
      <c r="D543" s="38"/>
      <c r="E543" s="37"/>
      <c r="F543" s="38"/>
      <c r="G543" s="37"/>
      <c r="H543" s="38"/>
      <c r="I543" s="37"/>
      <c r="J543" s="38"/>
      <c r="K543" s="37"/>
      <c r="L543" s="38"/>
      <c r="M543" s="37"/>
      <c r="N543" s="38"/>
      <c r="O543" s="37"/>
      <c r="P543" s="38"/>
      <c r="Q543" s="37"/>
      <c r="R543" s="37"/>
      <c r="S543" s="37"/>
    </row>
    <row r="544" spans="1:19" x14ac:dyDescent="0.25">
      <c r="A544" s="37"/>
      <c r="C544" s="37"/>
      <c r="D544" s="38"/>
      <c r="E544" s="37"/>
      <c r="F544" s="38"/>
      <c r="G544" s="37"/>
      <c r="H544" s="38"/>
      <c r="I544" s="37"/>
      <c r="J544" s="38"/>
      <c r="K544" s="37"/>
      <c r="L544" s="38"/>
      <c r="M544" s="37"/>
      <c r="N544" s="38"/>
      <c r="O544" s="37"/>
      <c r="P544" s="38"/>
      <c r="Q544" s="37"/>
      <c r="R544" s="37"/>
      <c r="S544" s="37"/>
    </row>
    <row r="545" spans="1:19" x14ac:dyDescent="0.25">
      <c r="A545" s="37"/>
      <c r="C545" s="37"/>
      <c r="D545" s="38"/>
      <c r="E545" s="37"/>
      <c r="F545" s="38"/>
      <c r="G545" s="37"/>
      <c r="H545" s="38"/>
      <c r="I545" s="37"/>
      <c r="J545" s="38"/>
      <c r="K545" s="37"/>
      <c r="L545" s="38"/>
      <c r="M545" s="37"/>
      <c r="N545" s="38"/>
      <c r="O545" s="37"/>
      <c r="P545" s="38"/>
      <c r="Q545" s="37"/>
      <c r="R545" s="37"/>
      <c r="S545" s="37"/>
    </row>
    <row r="546" spans="1:19" x14ac:dyDescent="0.25">
      <c r="A546" s="37"/>
      <c r="C546" s="37"/>
      <c r="D546" s="38"/>
      <c r="E546" s="37"/>
      <c r="F546" s="38"/>
      <c r="G546" s="37"/>
      <c r="H546" s="38"/>
      <c r="I546" s="37"/>
      <c r="J546" s="38"/>
      <c r="K546" s="37"/>
      <c r="L546" s="38"/>
      <c r="M546" s="37"/>
      <c r="N546" s="38"/>
      <c r="O546" s="37"/>
      <c r="P546" s="38"/>
      <c r="Q546" s="37"/>
      <c r="R546" s="37"/>
      <c r="S546" s="37"/>
    </row>
    <row r="547" spans="1:19" x14ac:dyDescent="0.25">
      <c r="A547" s="37"/>
      <c r="C547" s="37"/>
      <c r="D547" s="38"/>
      <c r="E547" s="37"/>
      <c r="F547" s="38"/>
      <c r="G547" s="37"/>
      <c r="H547" s="38"/>
      <c r="I547" s="37"/>
      <c r="J547" s="38"/>
      <c r="K547" s="37"/>
      <c r="L547" s="38"/>
      <c r="M547" s="37"/>
      <c r="N547" s="38"/>
      <c r="O547" s="37"/>
      <c r="P547" s="38"/>
      <c r="Q547" s="37"/>
      <c r="R547" s="37"/>
      <c r="S547" s="37"/>
    </row>
    <row r="548" spans="1:19" x14ac:dyDescent="0.25">
      <c r="A548" s="37"/>
      <c r="C548" s="37"/>
      <c r="D548" s="38"/>
      <c r="E548" s="37"/>
      <c r="F548" s="38"/>
      <c r="G548" s="37"/>
      <c r="H548" s="38"/>
      <c r="I548" s="37"/>
      <c r="J548" s="38"/>
      <c r="K548" s="37"/>
      <c r="L548" s="38"/>
      <c r="M548" s="37"/>
      <c r="N548" s="38"/>
      <c r="O548" s="37"/>
      <c r="P548" s="38"/>
      <c r="Q548" s="37"/>
      <c r="R548" s="37"/>
      <c r="S548" s="37"/>
    </row>
    <row r="549" spans="1:19" x14ac:dyDescent="0.25">
      <c r="A549" s="37"/>
      <c r="C549" s="37"/>
      <c r="D549" s="38"/>
      <c r="E549" s="37"/>
      <c r="F549" s="38"/>
      <c r="G549" s="37"/>
      <c r="H549" s="38"/>
      <c r="I549" s="37"/>
      <c r="J549" s="38"/>
      <c r="K549" s="37"/>
      <c r="L549" s="38"/>
      <c r="M549" s="37"/>
      <c r="N549" s="38"/>
      <c r="O549" s="37"/>
      <c r="P549" s="38"/>
      <c r="Q549" s="37"/>
      <c r="R549" s="37"/>
      <c r="S549" s="37"/>
    </row>
    <row r="550" spans="1:19" x14ac:dyDescent="0.25">
      <c r="A550" s="37"/>
      <c r="C550" s="37"/>
      <c r="D550" s="38"/>
      <c r="E550" s="37"/>
      <c r="F550" s="38"/>
      <c r="G550" s="37"/>
      <c r="H550" s="38"/>
      <c r="I550" s="37"/>
      <c r="J550" s="38"/>
      <c r="K550" s="37"/>
      <c r="L550" s="38"/>
      <c r="M550" s="37"/>
      <c r="N550" s="38"/>
      <c r="O550" s="37"/>
      <c r="P550" s="38"/>
      <c r="Q550" s="37"/>
      <c r="R550" s="37"/>
      <c r="S550" s="37"/>
    </row>
    <row r="551" spans="1:19" x14ac:dyDescent="0.25">
      <c r="A551" s="37"/>
      <c r="C551" s="37"/>
      <c r="D551" s="38"/>
      <c r="E551" s="37"/>
      <c r="F551" s="38"/>
      <c r="G551" s="37"/>
      <c r="H551" s="38"/>
      <c r="I551" s="37"/>
      <c r="J551" s="38"/>
      <c r="K551" s="37"/>
      <c r="L551" s="38"/>
      <c r="M551" s="37"/>
      <c r="N551" s="38"/>
      <c r="O551" s="37"/>
      <c r="P551" s="38"/>
      <c r="Q551" s="37"/>
      <c r="R551" s="37"/>
      <c r="S551" s="37"/>
    </row>
    <row r="552" spans="1:19" x14ac:dyDescent="0.25">
      <c r="A552" s="37"/>
      <c r="C552" s="37"/>
      <c r="D552" s="38"/>
      <c r="E552" s="37"/>
      <c r="F552" s="38"/>
      <c r="G552" s="37"/>
      <c r="H552" s="38"/>
      <c r="I552" s="37"/>
      <c r="J552" s="38"/>
      <c r="K552" s="37"/>
      <c r="L552" s="38"/>
      <c r="M552" s="37"/>
      <c r="N552" s="38"/>
      <c r="O552" s="37"/>
      <c r="P552" s="38"/>
      <c r="Q552" s="37"/>
      <c r="R552" s="37"/>
      <c r="S552" s="37"/>
    </row>
    <row r="553" spans="1:19" x14ac:dyDescent="0.25">
      <c r="A553" s="37"/>
      <c r="C553" s="37"/>
      <c r="D553" s="38"/>
      <c r="E553" s="37"/>
      <c r="F553" s="38"/>
      <c r="G553" s="37"/>
      <c r="H553" s="38"/>
      <c r="I553" s="37"/>
      <c r="J553" s="38"/>
      <c r="K553" s="37"/>
      <c r="L553" s="38"/>
      <c r="M553" s="37"/>
      <c r="N553" s="38"/>
      <c r="O553" s="37"/>
      <c r="P553" s="38"/>
      <c r="Q553" s="37"/>
      <c r="R553" s="37"/>
      <c r="S553" s="37"/>
    </row>
    <row r="554" spans="1:19" x14ac:dyDescent="0.25">
      <c r="A554" s="37"/>
      <c r="C554" s="37"/>
      <c r="D554" s="38"/>
      <c r="E554" s="37"/>
      <c r="F554" s="38"/>
      <c r="G554" s="37"/>
      <c r="H554" s="38"/>
      <c r="I554" s="37"/>
      <c r="J554" s="38"/>
      <c r="K554" s="37"/>
      <c r="L554" s="38"/>
      <c r="M554" s="37"/>
      <c r="N554" s="38"/>
      <c r="O554" s="37"/>
      <c r="P554" s="38"/>
      <c r="Q554" s="37"/>
      <c r="R554" s="37"/>
      <c r="S554" s="37"/>
    </row>
    <row r="555" spans="1:19" x14ac:dyDescent="0.25">
      <c r="A555" s="37"/>
      <c r="C555" s="37"/>
      <c r="D555" s="38"/>
      <c r="E555" s="37"/>
      <c r="F555" s="38"/>
      <c r="G555" s="37"/>
      <c r="H555" s="38"/>
      <c r="I555" s="37"/>
      <c r="J555" s="38"/>
      <c r="K555" s="37"/>
      <c r="L555" s="38"/>
      <c r="M555" s="37"/>
      <c r="N555" s="38"/>
      <c r="O555" s="37"/>
      <c r="P555" s="38"/>
      <c r="Q555" s="37"/>
      <c r="R555" s="37"/>
      <c r="S555" s="37"/>
    </row>
    <row r="556" spans="1:19" x14ac:dyDescent="0.25">
      <c r="A556" s="37"/>
      <c r="C556" s="37"/>
      <c r="D556" s="38"/>
      <c r="E556" s="37"/>
      <c r="F556" s="38"/>
      <c r="G556" s="37"/>
      <c r="H556" s="38"/>
      <c r="I556" s="37"/>
      <c r="J556" s="38"/>
      <c r="K556" s="37"/>
      <c r="L556" s="38"/>
      <c r="M556" s="37"/>
      <c r="N556" s="38"/>
      <c r="O556" s="37"/>
      <c r="P556" s="38"/>
      <c r="Q556" s="37"/>
      <c r="R556" s="37"/>
      <c r="S556" s="37"/>
    </row>
    <row r="557" spans="1:19" x14ac:dyDescent="0.25">
      <c r="A557" s="37"/>
      <c r="C557" s="37"/>
      <c r="D557" s="38"/>
      <c r="E557" s="37"/>
      <c r="F557" s="38"/>
      <c r="G557" s="37"/>
      <c r="H557" s="38"/>
      <c r="I557" s="37"/>
      <c r="J557" s="38"/>
      <c r="K557" s="37"/>
      <c r="L557" s="38"/>
      <c r="M557" s="37"/>
      <c r="N557" s="38"/>
      <c r="O557" s="37"/>
      <c r="P557" s="38"/>
      <c r="Q557" s="37"/>
      <c r="R557" s="37"/>
      <c r="S557" s="37"/>
    </row>
    <row r="558" spans="1:19" x14ac:dyDescent="0.25">
      <c r="A558" s="37"/>
      <c r="C558" s="37"/>
      <c r="D558" s="38"/>
      <c r="E558" s="37"/>
      <c r="F558" s="38"/>
      <c r="G558" s="37"/>
      <c r="H558" s="38"/>
      <c r="I558" s="37"/>
      <c r="J558" s="38"/>
      <c r="K558" s="37"/>
      <c r="L558" s="38"/>
      <c r="M558" s="37"/>
      <c r="N558" s="38"/>
      <c r="O558" s="37"/>
      <c r="P558" s="38"/>
      <c r="Q558" s="37"/>
      <c r="R558" s="37"/>
      <c r="S558" s="37"/>
    </row>
    <row r="559" spans="1:19" x14ac:dyDescent="0.25">
      <c r="A559" s="37"/>
      <c r="C559" s="37"/>
      <c r="D559" s="38"/>
      <c r="E559" s="37"/>
      <c r="F559" s="38"/>
      <c r="G559" s="37"/>
      <c r="H559" s="38"/>
      <c r="I559" s="37"/>
      <c r="J559" s="38"/>
      <c r="K559" s="37"/>
      <c r="L559" s="38"/>
      <c r="M559" s="37"/>
      <c r="N559" s="38"/>
      <c r="O559" s="37"/>
      <c r="P559" s="38"/>
      <c r="Q559" s="37"/>
      <c r="R559" s="37"/>
      <c r="S559" s="37"/>
    </row>
    <row r="560" spans="1:19" x14ac:dyDescent="0.25">
      <c r="A560" s="37"/>
      <c r="C560" s="37"/>
      <c r="D560" s="38"/>
      <c r="E560" s="37"/>
      <c r="F560" s="38"/>
      <c r="G560" s="37"/>
      <c r="H560" s="38"/>
      <c r="I560" s="37"/>
      <c r="J560" s="38"/>
      <c r="K560" s="37"/>
      <c r="L560" s="38"/>
      <c r="M560" s="37"/>
      <c r="N560" s="38"/>
      <c r="O560" s="37"/>
      <c r="P560" s="38"/>
      <c r="Q560" s="37"/>
      <c r="R560" s="37"/>
      <c r="S560" s="37"/>
    </row>
    <row r="561" spans="1:19" x14ac:dyDescent="0.25">
      <c r="A561" s="37"/>
      <c r="C561" s="37"/>
      <c r="D561" s="38"/>
      <c r="E561" s="37"/>
      <c r="F561" s="38"/>
      <c r="G561" s="37"/>
      <c r="H561" s="38"/>
      <c r="I561" s="37"/>
      <c r="J561" s="38"/>
      <c r="K561" s="37"/>
      <c r="L561" s="38"/>
      <c r="M561" s="37"/>
      <c r="N561" s="38"/>
      <c r="O561" s="37"/>
      <c r="P561" s="38"/>
      <c r="Q561" s="37"/>
      <c r="R561" s="37"/>
      <c r="S561" s="37"/>
    </row>
    <row r="562" spans="1:19" x14ac:dyDescent="0.25">
      <c r="A562" s="37"/>
      <c r="C562" s="37"/>
      <c r="D562" s="38"/>
      <c r="E562" s="37"/>
      <c r="F562" s="38"/>
      <c r="G562" s="37"/>
      <c r="H562" s="38"/>
      <c r="I562" s="37"/>
      <c r="J562" s="38"/>
      <c r="K562" s="37"/>
      <c r="L562" s="38"/>
      <c r="M562" s="37"/>
      <c r="N562" s="38"/>
      <c r="O562" s="37"/>
      <c r="P562" s="38"/>
      <c r="Q562" s="37"/>
      <c r="R562" s="37"/>
      <c r="S562" s="37"/>
    </row>
    <row r="563" spans="1:19" x14ac:dyDescent="0.25">
      <c r="A563" s="37"/>
      <c r="C563" s="37"/>
      <c r="D563" s="38"/>
      <c r="E563" s="37"/>
      <c r="F563" s="38"/>
      <c r="G563" s="37"/>
      <c r="H563" s="38"/>
      <c r="I563" s="37"/>
      <c r="J563" s="38"/>
      <c r="K563" s="37"/>
      <c r="L563" s="38"/>
      <c r="M563" s="37"/>
      <c r="N563" s="38"/>
      <c r="O563" s="37"/>
      <c r="P563" s="38"/>
      <c r="Q563" s="37"/>
      <c r="R563" s="37"/>
      <c r="S563" s="37"/>
    </row>
    <row r="564" spans="1:19" x14ac:dyDescent="0.25">
      <c r="A564" s="37"/>
      <c r="C564" s="37"/>
      <c r="D564" s="38"/>
      <c r="E564" s="37"/>
      <c r="F564" s="38"/>
      <c r="G564" s="37"/>
      <c r="H564" s="38"/>
      <c r="I564" s="37"/>
      <c r="J564" s="38"/>
      <c r="K564" s="37"/>
      <c r="L564" s="38"/>
      <c r="M564" s="37"/>
      <c r="N564" s="38"/>
      <c r="O564" s="37"/>
      <c r="P564" s="38"/>
      <c r="Q564" s="37"/>
      <c r="R564" s="37"/>
      <c r="S564" s="37"/>
    </row>
    <row r="565" spans="1:19" x14ac:dyDescent="0.25">
      <c r="A565" s="37"/>
      <c r="C565" s="37"/>
      <c r="D565" s="38"/>
      <c r="E565" s="37"/>
      <c r="F565" s="38"/>
      <c r="G565" s="37"/>
      <c r="H565" s="38"/>
      <c r="I565" s="37"/>
      <c r="J565" s="38"/>
      <c r="K565" s="37"/>
      <c r="L565" s="38"/>
      <c r="M565" s="37"/>
      <c r="N565" s="38"/>
      <c r="O565" s="37"/>
      <c r="P565" s="38"/>
      <c r="Q565" s="37"/>
      <c r="R565" s="37"/>
      <c r="S565" s="37"/>
    </row>
    <row r="566" spans="1:19" x14ac:dyDescent="0.25">
      <c r="A566" s="37"/>
      <c r="C566" s="37"/>
      <c r="D566" s="38"/>
      <c r="E566" s="37"/>
      <c r="F566" s="38"/>
      <c r="G566" s="37"/>
      <c r="H566" s="38"/>
      <c r="I566" s="37"/>
      <c r="J566" s="38"/>
      <c r="K566" s="37"/>
      <c r="L566" s="38"/>
      <c r="M566" s="37"/>
      <c r="N566" s="38"/>
      <c r="O566" s="37"/>
      <c r="P566" s="38"/>
      <c r="Q566" s="37"/>
      <c r="R566" s="37"/>
      <c r="S566" s="37"/>
    </row>
    <row r="567" spans="1:19" x14ac:dyDescent="0.25">
      <c r="A567" s="37"/>
      <c r="C567" s="37"/>
      <c r="D567" s="38"/>
      <c r="E567" s="37"/>
      <c r="F567" s="38"/>
      <c r="G567" s="37"/>
      <c r="H567" s="38"/>
      <c r="I567" s="37"/>
      <c r="J567" s="38"/>
      <c r="K567" s="37"/>
      <c r="L567" s="38"/>
      <c r="M567" s="37"/>
      <c r="N567" s="38"/>
      <c r="O567" s="37"/>
      <c r="P567" s="38"/>
      <c r="Q567" s="37"/>
      <c r="R567" s="37"/>
      <c r="S567" s="37"/>
    </row>
    <row r="568" spans="1:19" x14ac:dyDescent="0.25">
      <c r="A568" s="37"/>
      <c r="C568" s="37"/>
      <c r="D568" s="38"/>
      <c r="E568" s="37"/>
      <c r="F568" s="38"/>
      <c r="G568" s="37"/>
      <c r="H568" s="38"/>
      <c r="I568" s="37"/>
      <c r="J568" s="38"/>
      <c r="K568" s="37"/>
      <c r="L568" s="38"/>
      <c r="M568" s="37"/>
      <c r="N568" s="38"/>
      <c r="O568" s="37"/>
      <c r="P568" s="38"/>
      <c r="Q568" s="37"/>
      <c r="R568" s="37"/>
      <c r="S568" s="37"/>
    </row>
    <row r="569" spans="1:19" x14ac:dyDescent="0.25">
      <c r="A569" s="37"/>
      <c r="C569" s="37"/>
      <c r="D569" s="38"/>
      <c r="E569" s="37"/>
      <c r="F569" s="38"/>
      <c r="G569" s="37"/>
      <c r="H569" s="38"/>
      <c r="I569" s="37"/>
      <c r="J569" s="38"/>
      <c r="K569" s="37"/>
      <c r="L569" s="38"/>
      <c r="M569" s="37"/>
      <c r="N569" s="38"/>
      <c r="O569" s="37"/>
      <c r="P569" s="38"/>
      <c r="Q569" s="37"/>
      <c r="R569" s="37"/>
      <c r="S569" s="37"/>
    </row>
    <row r="570" spans="1:19" x14ac:dyDescent="0.25">
      <c r="A570" s="37"/>
      <c r="C570" s="37"/>
      <c r="D570" s="38"/>
      <c r="E570" s="37"/>
      <c r="F570" s="38"/>
      <c r="G570" s="37"/>
      <c r="H570" s="38"/>
      <c r="I570" s="37"/>
      <c r="J570" s="38"/>
      <c r="K570" s="37"/>
      <c r="L570" s="38"/>
      <c r="M570" s="37"/>
      <c r="N570" s="38"/>
      <c r="O570" s="37"/>
      <c r="P570" s="38"/>
      <c r="Q570" s="37"/>
      <c r="R570" s="37"/>
      <c r="S570" s="37"/>
    </row>
    <row r="571" spans="1:19" x14ac:dyDescent="0.25">
      <c r="A571" s="37"/>
      <c r="C571" s="37"/>
      <c r="D571" s="38"/>
      <c r="E571" s="37"/>
      <c r="F571" s="38"/>
      <c r="G571" s="37"/>
      <c r="H571" s="38"/>
      <c r="I571" s="37"/>
      <c r="J571" s="38"/>
      <c r="K571" s="37"/>
      <c r="L571" s="38"/>
      <c r="M571" s="37"/>
      <c r="N571" s="38"/>
      <c r="O571" s="37"/>
      <c r="P571" s="38"/>
      <c r="Q571" s="37"/>
      <c r="R571" s="37"/>
      <c r="S571" s="37"/>
    </row>
    <row r="572" spans="1:19" x14ac:dyDescent="0.25">
      <c r="A572" s="37"/>
      <c r="C572" s="37"/>
      <c r="D572" s="38"/>
      <c r="E572" s="37"/>
      <c r="F572" s="38"/>
      <c r="G572" s="37"/>
      <c r="H572" s="38"/>
      <c r="I572" s="37"/>
      <c r="J572" s="38"/>
      <c r="K572" s="37"/>
      <c r="L572" s="38"/>
      <c r="M572" s="37"/>
      <c r="N572" s="38"/>
      <c r="O572" s="37"/>
      <c r="P572" s="38"/>
      <c r="Q572" s="37"/>
      <c r="R572" s="37"/>
      <c r="S572" s="37"/>
    </row>
    <row r="573" spans="1:19" x14ac:dyDescent="0.25">
      <c r="A573" s="37"/>
      <c r="C573" s="37"/>
      <c r="D573" s="38"/>
      <c r="E573" s="37"/>
      <c r="F573" s="38"/>
      <c r="G573" s="37"/>
      <c r="H573" s="38"/>
      <c r="I573" s="37"/>
      <c r="J573" s="38"/>
      <c r="K573" s="37"/>
      <c r="L573" s="38"/>
      <c r="M573" s="37"/>
      <c r="N573" s="38"/>
      <c r="O573" s="37"/>
      <c r="P573" s="38"/>
      <c r="Q573" s="37"/>
      <c r="R573" s="37"/>
      <c r="S573" s="37"/>
    </row>
    <row r="574" spans="1:19" x14ac:dyDescent="0.25">
      <c r="A574" s="37"/>
      <c r="C574" s="37"/>
      <c r="D574" s="38"/>
      <c r="E574" s="37"/>
      <c r="F574" s="38"/>
      <c r="G574" s="37"/>
      <c r="H574" s="38"/>
      <c r="I574" s="37"/>
      <c r="J574" s="38"/>
      <c r="K574" s="37"/>
      <c r="L574" s="38"/>
      <c r="M574" s="37"/>
      <c r="N574" s="38"/>
      <c r="O574" s="37"/>
      <c r="P574" s="38"/>
      <c r="Q574" s="37"/>
      <c r="R574" s="37"/>
      <c r="S574" s="37"/>
    </row>
    <row r="575" spans="1:19" x14ac:dyDescent="0.25">
      <c r="A575" s="37"/>
      <c r="C575" s="37"/>
      <c r="D575" s="38"/>
      <c r="E575" s="37"/>
      <c r="F575" s="38"/>
      <c r="G575" s="37"/>
      <c r="H575" s="38"/>
      <c r="I575" s="37"/>
      <c r="J575" s="38"/>
      <c r="K575" s="37"/>
      <c r="L575" s="38"/>
      <c r="M575" s="37"/>
      <c r="N575" s="38"/>
      <c r="O575" s="37"/>
      <c r="P575" s="38"/>
      <c r="Q575" s="37"/>
      <c r="R575" s="37"/>
      <c r="S575" s="37"/>
    </row>
    <row r="576" spans="1:19" x14ac:dyDescent="0.25">
      <c r="A576" s="37"/>
      <c r="C576" s="37"/>
      <c r="D576" s="38"/>
      <c r="E576" s="37"/>
      <c r="F576" s="38"/>
      <c r="G576" s="37"/>
      <c r="H576" s="38"/>
      <c r="I576" s="37"/>
      <c r="J576" s="38"/>
      <c r="K576" s="37"/>
      <c r="L576" s="38"/>
      <c r="M576" s="37"/>
      <c r="N576" s="38"/>
      <c r="O576" s="37"/>
      <c r="P576" s="38"/>
      <c r="Q576" s="37"/>
      <c r="R576" s="37"/>
      <c r="S576" s="37"/>
    </row>
    <row r="577" spans="1:19" x14ac:dyDescent="0.25">
      <c r="A577" s="37"/>
      <c r="C577" s="37"/>
      <c r="D577" s="38"/>
      <c r="E577" s="37"/>
      <c r="F577" s="38"/>
      <c r="G577" s="37"/>
      <c r="H577" s="38"/>
      <c r="I577" s="37"/>
      <c r="J577" s="38"/>
      <c r="K577" s="37"/>
      <c r="L577" s="38"/>
      <c r="M577" s="37"/>
      <c r="N577" s="38"/>
      <c r="O577" s="37"/>
      <c r="P577" s="38"/>
      <c r="Q577" s="37"/>
      <c r="R577" s="37"/>
      <c r="S577" s="37"/>
    </row>
    <row r="578" spans="1:19" x14ac:dyDescent="0.25">
      <c r="A578" s="37"/>
      <c r="C578" s="37"/>
      <c r="D578" s="38"/>
      <c r="E578" s="37"/>
      <c r="F578" s="38"/>
      <c r="G578" s="37"/>
      <c r="H578" s="38"/>
      <c r="I578" s="37"/>
      <c r="J578" s="38"/>
      <c r="K578" s="37"/>
      <c r="L578" s="38"/>
      <c r="M578" s="37"/>
      <c r="N578" s="38"/>
      <c r="O578" s="37"/>
      <c r="P578" s="38"/>
      <c r="Q578" s="37"/>
      <c r="R578" s="37"/>
      <c r="S578" s="37"/>
    </row>
    <row r="579" spans="1:19" x14ac:dyDescent="0.25">
      <c r="A579" s="37"/>
      <c r="C579" s="37"/>
      <c r="D579" s="38"/>
      <c r="E579" s="37"/>
      <c r="F579" s="38"/>
      <c r="G579" s="37"/>
      <c r="H579" s="38"/>
      <c r="I579" s="37"/>
      <c r="J579" s="38"/>
      <c r="K579" s="37"/>
      <c r="L579" s="38"/>
      <c r="M579" s="37"/>
      <c r="N579" s="38"/>
      <c r="O579" s="37"/>
      <c r="P579" s="38"/>
      <c r="Q579" s="37"/>
      <c r="R579" s="37"/>
      <c r="S579" s="37"/>
    </row>
    <row r="580" spans="1:19" x14ac:dyDescent="0.25">
      <c r="A580" s="37"/>
      <c r="C580" s="37"/>
      <c r="D580" s="38"/>
      <c r="E580" s="37"/>
      <c r="F580" s="38"/>
      <c r="G580" s="37"/>
      <c r="H580" s="38"/>
      <c r="I580" s="37"/>
      <c r="J580" s="38"/>
      <c r="K580" s="37"/>
      <c r="L580" s="38"/>
      <c r="M580" s="37"/>
      <c r="N580" s="38"/>
      <c r="O580" s="37"/>
      <c r="P580" s="38"/>
      <c r="Q580" s="37"/>
      <c r="R580" s="37"/>
      <c r="S580" s="37"/>
    </row>
    <row r="581" spans="1:19" x14ac:dyDescent="0.25">
      <c r="A581" s="37"/>
      <c r="C581" s="37"/>
      <c r="D581" s="38"/>
      <c r="E581" s="37"/>
      <c r="F581" s="38"/>
      <c r="G581" s="37"/>
      <c r="H581" s="38"/>
      <c r="I581" s="37"/>
      <c r="J581" s="38"/>
      <c r="K581" s="37"/>
      <c r="L581" s="38"/>
      <c r="M581" s="37"/>
      <c r="N581" s="38"/>
      <c r="O581" s="37"/>
      <c r="P581" s="38"/>
      <c r="Q581" s="37"/>
      <c r="R581" s="37"/>
      <c r="S581" s="37"/>
    </row>
    <row r="582" spans="1:19" x14ac:dyDescent="0.25">
      <c r="A582" s="37"/>
      <c r="C582" s="37"/>
      <c r="D582" s="38"/>
      <c r="E582" s="37"/>
      <c r="F582" s="38"/>
      <c r="G582" s="37"/>
      <c r="H582" s="38"/>
      <c r="I582" s="37"/>
      <c r="J582" s="38"/>
      <c r="K582" s="37"/>
      <c r="L582" s="38"/>
      <c r="M582" s="37"/>
      <c r="N582" s="38"/>
      <c r="O582" s="37"/>
      <c r="P582" s="38"/>
      <c r="Q582" s="37"/>
      <c r="R582" s="37"/>
      <c r="S582" s="37"/>
    </row>
    <row r="583" spans="1:19" x14ac:dyDescent="0.25">
      <c r="A583" s="37"/>
      <c r="C583" s="37"/>
      <c r="D583" s="38"/>
      <c r="E583" s="37"/>
      <c r="F583" s="38"/>
      <c r="G583" s="37"/>
      <c r="H583" s="38"/>
      <c r="I583" s="37"/>
      <c r="J583" s="38"/>
      <c r="K583" s="37"/>
      <c r="L583" s="38"/>
      <c r="M583" s="37"/>
      <c r="N583" s="38"/>
      <c r="O583" s="37"/>
      <c r="P583" s="38"/>
      <c r="Q583" s="37"/>
      <c r="R583" s="37"/>
      <c r="S583" s="37"/>
    </row>
    <row r="584" spans="1:19" x14ac:dyDescent="0.25">
      <c r="A584" s="37"/>
      <c r="C584" s="37"/>
      <c r="D584" s="38"/>
      <c r="E584" s="37"/>
      <c r="F584" s="38"/>
      <c r="G584" s="37"/>
      <c r="H584" s="38"/>
      <c r="I584" s="37"/>
      <c r="J584" s="38"/>
      <c r="K584" s="37"/>
      <c r="L584" s="38"/>
      <c r="M584" s="37"/>
      <c r="N584" s="38"/>
      <c r="O584" s="37"/>
      <c r="P584" s="38"/>
      <c r="Q584" s="37"/>
      <c r="R584" s="37"/>
      <c r="S584" s="37"/>
    </row>
    <row r="585" spans="1:19" x14ac:dyDescent="0.25">
      <c r="A585" s="37"/>
      <c r="C585" s="37"/>
      <c r="D585" s="38"/>
      <c r="E585" s="37"/>
      <c r="F585" s="38"/>
      <c r="G585" s="37"/>
      <c r="H585" s="38"/>
      <c r="I585" s="37"/>
      <c r="J585" s="38"/>
      <c r="K585" s="37"/>
      <c r="L585" s="38"/>
      <c r="M585" s="37"/>
      <c r="N585" s="38"/>
      <c r="O585" s="37"/>
      <c r="P585" s="38"/>
      <c r="Q585" s="37"/>
      <c r="R585" s="37"/>
      <c r="S585" s="37"/>
    </row>
    <row r="586" spans="1:19" x14ac:dyDescent="0.25">
      <c r="A586" s="37"/>
      <c r="C586" s="37"/>
      <c r="D586" s="38"/>
      <c r="E586" s="37"/>
      <c r="F586" s="38"/>
      <c r="G586" s="37"/>
      <c r="H586" s="38"/>
      <c r="I586" s="37"/>
      <c r="J586" s="38"/>
      <c r="K586" s="37"/>
      <c r="L586" s="38"/>
      <c r="M586" s="37"/>
      <c r="N586" s="38"/>
      <c r="O586" s="37"/>
      <c r="P586" s="38"/>
      <c r="Q586" s="37"/>
      <c r="R586" s="37"/>
      <c r="S586" s="37"/>
    </row>
    <row r="587" spans="1:19" x14ac:dyDescent="0.25">
      <c r="A587" s="37"/>
      <c r="C587" s="37"/>
      <c r="D587" s="38"/>
      <c r="E587" s="37"/>
      <c r="F587" s="38"/>
      <c r="G587" s="37"/>
      <c r="H587" s="38"/>
      <c r="I587" s="37"/>
      <c r="J587" s="38"/>
      <c r="K587" s="37"/>
      <c r="L587" s="38"/>
      <c r="M587" s="37"/>
      <c r="N587" s="38"/>
      <c r="O587" s="37"/>
      <c r="P587" s="38"/>
      <c r="Q587" s="37"/>
      <c r="R587" s="37"/>
      <c r="S587" s="37"/>
    </row>
    <row r="588" spans="1:19" x14ac:dyDescent="0.25">
      <c r="A588" s="37"/>
      <c r="C588" s="37"/>
      <c r="D588" s="38"/>
      <c r="E588" s="37"/>
      <c r="F588" s="38"/>
      <c r="G588" s="37"/>
      <c r="H588" s="38"/>
      <c r="I588" s="37"/>
      <c r="J588" s="38"/>
      <c r="K588" s="37"/>
      <c r="L588" s="38"/>
      <c r="M588" s="37"/>
      <c r="N588" s="38"/>
      <c r="O588" s="37"/>
      <c r="P588" s="38"/>
      <c r="Q588" s="37"/>
      <c r="R588" s="37"/>
      <c r="S588" s="37"/>
    </row>
    <row r="589" spans="1:19" x14ac:dyDescent="0.25">
      <c r="A589" s="37"/>
      <c r="C589" s="37"/>
      <c r="D589" s="38"/>
      <c r="E589" s="37"/>
      <c r="F589" s="38"/>
      <c r="G589" s="37"/>
      <c r="H589" s="38"/>
      <c r="I589" s="37"/>
      <c r="J589" s="38"/>
      <c r="K589" s="37"/>
      <c r="L589" s="38"/>
      <c r="M589" s="37"/>
      <c r="N589" s="38"/>
      <c r="O589" s="37"/>
      <c r="P589" s="38"/>
      <c r="Q589" s="37"/>
      <c r="R589" s="37"/>
      <c r="S589" s="37"/>
    </row>
    <row r="590" spans="1:19" x14ac:dyDescent="0.25">
      <c r="A590" s="37"/>
      <c r="C590" s="37"/>
      <c r="D590" s="38"/>
      <c r="E590" s="37"/>
      <c r="F590" s="38"/>
      <c r="G590" s="37"/>
      <c r="H590" s="38"/>
      <c r="I590" s="37"/>
      <c r="J590" s="38"/>
      <c r="K590" s="37"/>
      <c r="L590" s="38"/>
      <c r="M590" s="37"/>
      <c r="N590" s="38"/>
      <c r="O590" s="37"/>
      <c r="P590" s="38"/>
      <c r="Q590" s="37"/>
      <c r="R590" s="37"/>
      <c r="S590" s="37"/>
    </row>
    <row r="591" spans="1:19" x14ac:dyDescent="0.25">
      <c r="A591" s="37"/>
      <c r="C591" s="37"/>
      <c r="D591" s="38"/>
      <c r="E591" s="37"/>
      <c r="F591" s="38"/>
      <c r="G591" s="37"/>
      <c r="H591" s="38"/>
      <c r="I591" s="37"/>
      <c r="J591" s="38"/>
      <c r="K591" s="37"/>
      <c r="L591" s="38"/>
      <c r="M591" s="37"/>
      <c r="N591" s="38"/>
      <c r="O591" s="37"/>
      <c r="P591" s="38"/>
      <c r="Q591" s="37"/>
      <c r="R591" s="37"/>
      <c r="S591" s="37"/>
    </row>
    <row r="592" spans="1:19" x14ac:dyDescent="0.25">
      <c r="A592" s="37"/>
      <c r="C592" s="37"/>
      <c r="D592" s="38"/>
      <c r="E592" s="37"/>
      <c r="F592" s="38"/>
      <c r="G592" s="37"/>
      <c r="H592" s="38"/>
      <c r="I592" s="37"/>
      <c r="J592" s="38"/>
      <c r="K592" s="37"/>
      <c r="L592" s="38"/>
      <c r="M592" s="37"/>
      <c r="N592" s="38"/>
      <c r="O592" s="37"/>
      <c r="P592" s="38"/>
      <c r="Q592" s="37"/>
      <c r="R592" s="37"/>
      <c r="S592" s="37"/>
    </row>
    <row r="593" spans="1:19" x14ac:dyDescent="0.25">
      <c r="A593" s="37"/>
      <c r="C593" s="37"/>
      <c r="D593" s="38"/>
      <c r="E593" s="37"/>
      <c r="F593" s="38"/>
      <c r="G593" s="37"/>
      <c r="H593" s="38"/>
      <c r="I593" s="37"/>
      <c r="J593" s="38"/>
      <c r="K593" s="37"/>
      <c r="L593" s="38"/>
      <c r="M593" s="37"/>
      <c r="N593" s="38"/>
      <c r="O593" s="37"/>
      <c r="P593" s="38"/>
      <c r="Q593" s="37"/>
      <c r="R593" s="37"/>
      <c r="S593" s="37"/>
    </row>
    <row r="594" spans="1:19" x14ac:dyDescent="0.25">
      <c r="A594" s="37"/>
      <c r="C594" s="37"/>
      <c r="D594" s="38"/>
      <c r="E594" s="37"/>
      <c r="F594" s="38"/>
      <c r="G594" s="37"/>
      <c r="H594" s="38"/>
      <c r="I594" s="37"/>
      <c r="J594" s="38"/>
      <c r="K594" s="37"/>
      <c r="L594" s="38"/>
      <c r="M594" s="37"/>
      <c r="N594" s="38"/>
      <c r="O594" s="37"/>
      <c r="P594" s="38"/>
      <c r="Q594" s="37"/>
      <c r="R594" s="37"/>
      <c r="S594" s="37"/>
    </row>
    <row r="595" spans="1:19" x14ac:dyDescent="0.25">
      <c r="A595" s="37"/>
      <c r="C595" s="37"/>
      <c r="D595" s="38"/>
      <c r="E595" s="37"/>
      <c r="F595" s="38"/>
      <c r="G595" s="37"/>
      <c r="H595" s="38"/>
      <c r="I595" s="37"/>
      <c r="J595" s="38"/>
      <c r="K595" s="37"/>
      <c r="L595" s="38"/>
      <c r="M595" s="37"/>
      <c r="N595" s="38"/>
      <c r="O595" s="37"/>
      <c r="P595" s="38"/>
      <c r="Q595" s="37"/>
      <c r="R595" s="37"/>
      <c r="S595" s="37"/>
    </row>
    <row r="596" spans="1:19" x14ac:dyDescent="0.25">
      <c r="A596" s="37"/>
      <c r="C596" s="37"/>
      <c r="D596" s="38"/>
      <c r="E596" s="37"/>
      <c r="F596" s="38"/>
      <c r="G596" s="37"/>
      <c r="H596" s="38"/>
      <c r="I596" s="37"/>
      <c r="J596" s="38"/>
      <c r="K596" s="37"/>
      <c r="L596" s="38"/>
      <c r="M596" s="37"/>
      <c r="N596" s="38"/>
      <c r="O596" s="37"/>
      <c r="P596" s="38"/>
      <c r="Q596" s="37"/>
      <c r="R596" s="37"/>
      <c r="S596" s="37"/>
    </row>
    <row r="597" spans="1:19" x14ac:dyDescent="0.25">
      <c r="A597" s="37"/>
      <c r="C597" s="37"/>
      <c r="D597" s="38"/>
      <c r="E597" s="37"/>
      <c r="F597" s="38"/>
      <c r="G597" s="37"/>
      <c r="H597" s="38"/>
      <c r="I597" s="37"/>
      <c r="J597" s="38"/>
      <c r="K597" s="37"/>
      <c r="L597" s="38"/>
      <c r="M597" s="37"/>
      <c r="N597" s="38"/>
      <c r="O597" s="37"/>
      <c r="P597" s="38"/>
      <c r="Q597" s="37"/>
      <c r="R597" s="37"/>
      <c r="S597" s="37"/>
    </row>
    <row r="598" spans="1:19" x14ac:dyDescent="0.25">
      <c r="A598" s="37"/>
      <c r="C598" s="37"/>
      <c r="D598" s="38"/>
      <c r="E598" s="37"/>
      <c r="F598" s="38"/>
      <c r="G598" s="37"/>
      <c r="H598" s="38"/>
      <c r="I598" s="37"/>
      <c r="J598" s="38"/>
      <c r="K598" s="37"/>
      <c r="L598" s="38"/>
      <c r="M598" s="37"/>
      <c r="N598" s="38"/>
      <c r="O598" s="37"/>
      <c r="P598" s="38"/>
      <c r="Q598" s="37"/>
      <c r="R598" s="37"/>
      <c r="S598" s="37"/>
    </row>
    <row r="599" spans="1:19" x14ac:dyDescent="0.25">
      <c r="A599" s="37"/>
      <c r="C599" s="37"/>
      <c r="D599" s="38"/>
      <c r="E599" s="37"/>
      <c r="F599" s="38"/>
      <c r="G599" s="37"/>
      <c r="H599" s="38"/>
      <c r="I599" s="37"/>
      <c r="J599" s="38"/>
      <c r="K599" s="37"/>
      <c r="L599" s="38"/>
      <c r="M599" s="37"/>
      <c r="N599" s="38"/>
      <c r="O599" s="37"/>
      <c r="P599" s="38"/>
      <c r="Q599" s="37"/>
      <c r="R599" s="37"/>
      <c r="S599" s="37"/>
    </row>
    <row r="600" spans="1:19" x14ac:dyDescent="0.25">
      <c r="A600" s="37"/>
      <c r="C600" s="37"/>
      <c r="D600" s="38"/>
      <c r="E600" s="37"/>
      <c r="F600" s="38"/>
      <c r="G600" s="37"/>
      <c r="H600" s="38"/>
      <c r="I600" s="37"/>
      <c r="J600" s="38"/>
      <c r="K600" s="37"/>
      <c r="L600" s="38"/>
      <c r="M600" s="37"/>
      <c r="N600" s="38"/>
      <c r="O600" s="37"/>
      <c r="P600" s="38"/>
      <c r="Q600" s="37"/>
      <c r="R600" s="37"/>
      <c r="S600" s="37"/>
    </row>
    <row r="601" spans="1:19" x14ac:dyDescent="0.25">
      <c r="A601" s="37"/>
      <c r="C601" s="37"/>
      <c r="D601" s="38"/>
      <c r="E601" s="37"/>
      <c r="F601" s="38"/>
      <c r="G601" s="37"/>
      <c r="H601" s="38"/>
      <c r="I601" s="37"/>
      <c r="J601" s="38"/>
      <c r="K601" s="37"/>
      <c r="L601" s="38"/>
      <c r="M601" s="37"/>
      <c r="N601" s="38"/>
      <c r="O601" s="37"/>
      <c r="P601" s="38"/>
      <c r="Q601" s="37"/>
      <c r="R601" s="37"/>
      <c r="S601" s="37"/>
    </row>
    <row r="602" spans="1:19" x14ac:dyDescent="0.25">
      <c r="A602" s="37"/>
      <c r="C602" s="37"/>
      <c r="D602" s="38"/>
      <c r="E602" s="37"/>
      <c r="F602" s="38"/>
      <c r="G602" s="37"/>
      <c r="H602" s="38"/>
      <c r="I602" s="37"/>
      <c r="J602" s="38"/>
      <c r="K602" s="37"/>
      <c r="L602" s="38"/>
      <c r="M602" s="37"/>
      <c r="N602" s="38"/>
      <c r="O602" s="37"/>
      <c r="P602" s="38"/>
      <c r="Q602" s="37"/>
      <c r="R602" s="37"/>
      <c r="S602" s="37"/>
    </row>
    <row r="603" spans="1:19" x14ac:dyDescent="0.25">
      <c r="A603" s="37"/>
      <c r="C603" s="37"/>
      <c r="D603" s="38"/>
      <c r="E603" s="37"/>
      <c r="F603" s="38"/>
      <c r="G603" s="37"/>
      <c r="H603" s="38"/>
      <c r="I603" s="37"/>
      <c r="J603" s="38"/>
      <c r="K603" s="37"/>
      <c r="L603" s="38"/>
      <c r="M603" s="37"/>
      <c r="N603" s="38"/>
      <c r="O603" s="37"/>
      <c r="P603" s="38"/>
      <c r="Q603" s="37"/>
      <c r="R603" s="37"/>
      <c r="S603" s="37"/>
    </row>
    <row r="604" spans="1:19" x14ac:dyDescent="0.25">
      <c r="A604" s="37"/>
      <c r="C604" s="37"/>
      <c r="D604" s="38"/>
      <c r="E604" s="37"/>
      <c r="F604" s="38"/>
      <c r="G604" s="37"/>
      <c r="H604" s="38"/>
      <c r="I604" s="37"/>
      <c r="J604" s="38"/>
      <c r="K604" s="37"/>
      <c r="L604" s="38"/>
      <c r="M604" s="37"/>
      <c r="N604" s="38"/>
      <c r="O604" s="37"/>
      <c r="P604" s="38"/>
      <c r="Q604" s="37"/>
      <c r="R604" s="37"/>
      <c r="S604" s="37"/>
    </row>
    <row r="605" spans="1:19" x14ac:dyDescent="0.25">
      <c r="A605" s="37"/>
      <c r="C605" s="37"/>
      <c r="D605" s="38"/>
      <c r="E605" s="37"/>
      <c r="F605" s="38"/>
      <c r="G605" s="37"/>
      <c r="H605" s="38"/>
      <c r="I605" s="37"/>
      <c r="J605" s="38"/>
      <c r="K605" s="37"/>
      <c r="L605" s="38"/>
      <c r="M605" s="37"/>
      <c r="N605" s="38"/>
      <c r="O605" s="37"/>
      <c r="P605" s="38"/>
      <c r="Q605" s="37"/>
      <c r="R605" s="37"/>
      <c r="S605" s="37"/>
    </row>
    <row r="606" spans="1:19" x14ac:dyDescent="0.25">
      <c r="A606" s="37"/>
      <c r="C606" s="37"/>
      <c r="D606" s="38"/>
      <c r="E606" s="37"/>
      <c r="F606" s="38"/>
      <c r="G606" s="37"/>
      <c r="H606" s="38"/>
      <c r="I606" s="37"/>
      <c r="J606" s="38"/>
      <c r="K606" s="37"/>
      <c r="L606" s="38"/>
      <c r="M606" s="37"/>
      <c r="N606" s="38"/>
      <c r="O606" s="37"/>
      <c r="P606" s="38"/>
      <c r="Q606" s="37"/>
      <c r="R606" s="37"/>
      <c r="S606" s="37"/>
    </row>
    <row r="607" spans="1:19" x14ac:dyDescent="0.25">
      <c r="A607" s="37"/>
      <c r="C607" s="37"/>
      <c r="D607" s="38"/>
      <c r="E607" s="37"/>
      <c r="F607" s="38"/>
      <c r="G607" s="37"/>
      <c r="H607" s="38"/>
      <c r="I607" s="37"/>
      <c r="J607" s="38"/>
      <c r="K607" s="37"/>
      <c r="L607" s="38"/>
      <c r="M607" s="37"/>
      <c r="N607" s="38"/>
      <c r="O607" s="37"/>
      <c r="P607" s="38"/>
      <c r="Q607" s="37"/>
      <c r="R607" s="37"/>
      <c r="S607" s="37"/>
    </row>
    <row r="608" spans="1:19" x14ac:dyDescent="0.25">
      <c r="A608" s="37"/>
      <c r="C608" s="37"/>
      <c r="D608" s="38"/>
      <c r="E608" s="37"/>
      <c r="F608" s="38"/>
      <c r="G608" s="37"/>
      <c r="H608" s="38"/>
      <c r="I608" s="37"/>
      <c r="J608" s="38"/>
      <c r="K608" s="37"/>
      <c r="L608" s="38"/>
      <c r="M608" s="37"/>
      <c r="N608" s="38"/>
      <c r="O608" s="37"/>
      <c r="P608" s="38"/>
      <c r="Q608" s="37"/>
      <c r="R608" s="37"/>
      <c r="S608" s="37"/>
    </row>
    <row r="609" spans="1:19" x14ac:dyDescent="0.25">
      <c r="A609" s="37"/>
      <c r="C609" s="37"/>
      <c r="D609" s="38"/>
      <c r="E609" s="37"/>
      <c r="F609" s="38"/>
      <c r="G609" s="37"/>
      <c r="H609" s="38"/>
      <c r="I609" s="37"/>
      <c r="J609" s="38"/>
      <c r="K609" s="37"/>
      <c r="L609" s="38"/>
      <c r="M609" s="37"/>
      <c r="N609" s="38"/>
      <c r="O609" s="37"/>
      <c r="P609" s="38"/>
      <c r="Q609" s="37"/>
      <c r="R609" s="37"/>
      <c r="S609" s="37"/>
    </row>
    <row r="610" spans="1:19" x14ac:dyDescent="0.25">
      <c r="A610" s="37"/>
      <c r="C610" s="37"/>
      <c r="D610" s="38"/>
      <c r="E610" s="37"/>
      <c r="F610" s="38"/>
      <c r="G610" s="37"/>
      <c r="H610" s="38"/>
      <c r="I610" s="37"/>
      <c r="J610" s="38"/>
      <c r="K610" s="37"/>
      <c r="L610" s="38"/>
      <c r="M610" s="37"/>
      <c r="N610" s="38"/>
      <c r="O610" s="37"/>
      <c r="P610" s="38"/>
      <c r="Q610" s="37"/>
      <c r="R610" s="37"/>
      <c r="S610" s="37"/>
    </row>
    <row r="611" spans="1:19" x14ac:dyDescent="0.25">
      <c r="A611" s="37"/>
      <c r="C611" s="37"/>
      <c r="D611" s="38"/>
      <c r="E611" s="37"/>
      <c r="F611" s="38"/>
      <c r="G611" s="37"/>
      <c r="H611" s="38"/>
      <c r="I611" s="37"/>
      <c r="J611" s="38"/>
      <c r="K611" s="37"/>
      <c r="L611" s="38"/>
      <c r="M611" s="37"/>
      <c r="N611" s="38"/>
      <c r="O611" s="37"/>
      <c r="P611" s="38"/>
      <c r="Q611" s="37"/>
      <c r="R611" s="37"/>
      <c r="S611" s="37"/>
    </row>
    <row r="612" spans="1:19" x14ac:dyDescent="0.25">
      <c r="A612" s="37"/>
      <c r="C612" s="37"/>
      <c r="D612" s="38"/>
      <c r="E612" s="37"/>
      <c r="F612" s="38"/>
      <c r="G612" s="37"/>
      <c r="H612" s="38"/>
      <c r="I612" s="37"/>
      <c r="J612" s="38"/>
      <c r="K612" s="37"/>
      <c r="L612" s="38"/>
      <c r="M612" s="37"/>
      <c r="N612" s="38"/>
      <c r="O612" s="37"/>
      <c r="P612" s="38"/>
      <c r="Q612" s="37"/>
      <c r="R612" s="37"/>
      <c r="S612" s="37"/>
    </row>
    <row r="613" spans="1:19" x14ac:dyDescent="0.25">
      <c r="A613" s="37"/>
      <c r="C613" s="37"/>
      <c r="D613" s="38"/>
      <c r="E613" s="37"/>
      <c r="F613" s="38"/>
      <c r="G613" s="37"/>
      <c r="H613" s="38"/>
      <c r="I613" s="37"/>
      <c r="J613" s="38"/>
      <c r="K613" s="37"/>
      <c r="L613" s="38"/>
      <c r="M613" s="37"/>
      <c r="N613" s="38"/>
      <c r="O613" s="37"/>
      <c r="P613" s="38"/>
      <c r="Q613" s="37"/>
      <c r="R613" s="37"/>
      <c r="S613" s="37"/>
    </row>
    <row r="614" spans="1:19" x14ac:dyDescent="0.25">
      <c r="A614" s="37"/>
      <c r="C614" s="37"/>
      <c r="D614" s="38"/>
      <c r="E614" s="37"/>
      <c r="F614" s="38"/>
      <c r="G614" s="37"/>
      <c r="H614" s="38"/>
      <c r="I614" s="37"/>
      <c r="J614" s="38"/>
      <c r="K614" s="37"/>
      <c r="L614" s="38"/>
      <c r="M614" s="37"/>
      <c r="N614" s="38"/>
      <c r="O614" s="37"/>
      <c r="P614" s="38"/>
      <c r="Q614" s="37"/>
      <c r="R614" s="37"/>
      <c r="S614" s="37"/>
    </row>
    <row r="615" spans="1:19" x14ac:dyDescent="0.25">
      <c r="A615" s="37"/>
      <c r="C615" s="37"/>
      <c r="D615" s="38"/>
      <c r="E615" s="37"/>
      <c r="F615" s="38"/>
      <c r="G615" s="37"/>
      <c r="H615" s="38"/>
      <c r="I615" s="37"/>
      <c r="J615" s="38"/>
      <c r="K615" s="37"/>
      <c r="L615" s="38"/>
      <c r="M615" s="37"/>
      <c r="N615" s="38"/>
      <c r="O615" s="37"/>
      <c r="P615" s="38"/>
      <c r="Q615" s="37"/>
      <c r="R615" s="37"/>
      <c r="S615" s="37"/>
    </row>
    <row r="616" spans="1:19" x14ac:dyDescent="0.25">
      <c r="A616" s="37"/>
      <c r="C616" s="37"/>
      <c r="D616" s="38"/>
      <c r="E616" s="37"/>
      <c r="F616" s="38"/>
      <c r="G616" s="37"/>
      <c r="H616" s="38"/>
      <c r="I616" s="37"/>
      <c r="J616" s="38"/>
      <c r="K616" s="37"/>
      <c r="L616" s="38"/>
      <c r="M616" s="37"/>
      <c r="N616" s="38"/>
      <c r="O616" s="37"/>
      <c r="P616" s="38"/>
      <c r="Q616" s="37"/>
      <c r="R616" s="37"/>
      <c r="S616" s="37"/>
    </row>
    <row r="617" spans="1:19" x14ac:dyDescent="0.25">
      <c r="A617" s="37"/>
      <c r="C617" s="37"/>
      <c r="D617" s="38"/>
      <c r="E617" s="37"/>
      <c r="F617" s="38"/>
      <c r="G617" s="37"/>
      <c r="H617" s="38"/>
      <c r="I617" s="37"/>
      <c r="J617" s="38"/>
      <c r="K617" s="37"/>
      <c r="L617" s="38"/>
      <c r="M617" s="37"/>
      <c r="N617" s="38"/>
      <c r="O617" s="37"/>
      <c r="P617" s="38"/>
      <c r="Q617" s="37"/>
      <c r="R617" s="37"/>
      <c r="S617" s="37"/>
    </row>
    <row r="618" spans="1:19" x14ac:dyDescent="0.25">
      <c r="A618" s="37"/>
      <c r="C618" s="37"/>
      <c r="D618" s="38"/>
      <c r="E618" s="37"/>
      <c r="F618" s="38"/>
      <c r="G618" s="37"/>
      <c r="H618" s="38"/>
      <c r="I618" s="37"/>
      <c r="J618" s="38"/>
      <c r="K618" s="37"/>
      <c r="L618" s="38"/>
      <c r="M618" s="37"/>
      <c r="N618" s="38"/>
      <c r="O618" s="37"/>
      <c r="P618" s="38"/>
      <c r="Q618" s="37"/>
      <c r="R618" s="37"/>
      <c r="S618" s="37"/>
    </row>
    <row r="619" spans="1:19" x14ac:dyDescent="0.25">
      <c r="A619" s="37"/>
      <c r="C619" s="37"/>
      <c r="D619" s="38"/>
      <c r="E619" s="37"/>
      <c r="F619" s="38"/>
      <c r="G619" s="37"/>
      <c r="H619" s="38"/>
      <c r="I619" s="37"/>
      <c r="J619" s="38"/>
      <c r="K619" s="37"/>
      <c r="L619" s="38"/>
      <c r="M619" s="37"/>
      <c r="N619" s="38"/>
      <c r="O619" s="37"/>
      <c r="P619" s="38"/>
      <c r="Q619" s="37"/>
      <c r="R619" s="37"/>
      <c r="S619" s="37"/>
    </row>
    <row r="620" spans="1:19" x14ac:dyDescent="0.25">
      <c r="A620" s="37"/>
      <c r="C620" s="37"/>
      <c r="D620" s="38"/>
      <c r="E620" s="37"/>
      <c r="F620" s="38"/>
      <c r="G620" s="37"/>
      <c r="H620" s="38"/>
      <c r="I620" s="37"/>
      <c r="J620" s="38"/>
      <c r="K620" s="37"/>
      <c r="L620" s="38"/>
      <c r="M620" s="37"/>
      <c r="N620" s="38"/>
      <c r="O620" s="37"/>
      <c r="P620" s="38"/>
      <c r="Q620" s="37"/>
      <c r="R620" s="37"/>
      <c r="S620" s="37"/>
    </row>
    <row r="621" spans="1:19" x14ac:dyDescent="0.25">
      <c r="A621" s="37"/>
      <c r="C621" s="37"/>
      <c r="D621" s="38"/>
      <c r="E621" s="37"/>
      <c r="F621" s="38"/>
      <c r="G621" s="37"/>
      <c r="H621" s="38"/>
      <c r="I621" s="37"/>
      <c r="J621" s="38"/>
      <c r="K621" s="37"/>
      <c r="L621" s="38"/>
      <c r="M621" s="37"/>
      <c r="N621" s="38"/>
      <c r="O621" s="37"/>
      <c r="P621" s="38"/>
      <c r="Q621" s="37"/>
      <c r="R621" s="37"/>
      <c r="S621" s="37"/>
    </row>
    <row r="622" spans="1:19" x14ac:dyDescent="0.25">
      <c r="A622" s="37"/>
      <c r="C622" s="37"/>
      <c r="D622" s="38"/>
      <c r="E622" s="37"/>
      <c r="F622" s="38"/>
      <c r="G622" s="37"/>
      <c r="H622" s="38"/>
      <c r="I622" s="37"/>
      <c r="J622" s="38"/>
      <c r="K622" s="37"/>
      <c r="L622" s="38"/>
      <c r="M622" s="37"/>
      <c r="N622" s="38"/>
      <c r="O622" s="37"/>
      <c r="P622" s="38"/>
      <c r="Q622" s="37"/>
      <c r="R622" s="37"/>
      <c r="S622" s="37"/>
    </row>
    <row r="623" spans="1:19" x14ac:dyDescent="0.25">
      <c r="A623" s="37"/>
      <c r="C623" s="37"/>
      <c r="D623" s="38"/>
      <c r="E623" s="37"/>
      <c r="F623" s="38"/>
      <c r="G623" s="37"/>
      <c r="H623" s="38"/>
      <c r="I623" s="37"/>
      <c r="J623" s="38"/>
      <c r="K623" s="37"/>
      <c r="L623" s="38"/>
      <c r="M623" s="37"/>
      <c r="N623" s="38"/>
      <c r="O623" s="37"/>
      <c r="P623" s="38"/>
      <c r="Q623" s="37"/>
      <c r="R623" s="37"/>
      <c r="S623" s="37"/>
    </row>
    <row r="624" spans="1:19" x14ac:dyDescent="0.25">
      <c r="A624" s="37"/>
      <c r="C624" s="37"/>
      <c r="D624" s="38"/>
      <c r="E624" s="37"/>
      <c r="F624" s="38"/>
      <c r="G624" s="37"/>
      <c r="H624" s="38"/>
      <c r="I624" s="37"/>
      <c r="J624" s="38"/>
      <c r="K624" s="37"/>
      <c r="L624" s="38"/>
      <c r="M624" s="37"/>
      <c r="N624" s="38"/>
      <c r="O624" s="37"/>
      <c r="P624" s="38"/>
      <c r="Q624" s="37"/>
      <c r="R624" s="37"/>
      <c r="S624" s="37"/>
    </row>
    <row r="625" spans="1:19" x14ac:dyDescent="0.25">
      <c r="A625" s="37"/>
      <c r="C625" s="37"/>
      <c r="D625" s="38"/>
      <c r="E625" s="37"/>
      <c r="F625" s="38"/>
      <c r="G625" s="37"/>
      <c r="H625" s="38"/>
      <c r="I625" s="37"/>
      <c r="J625" s="38"/>
      <c r="K625" s="37"/>
      <c r="L625" s="38"/>
      <c r="M625" s="37"/>
      <c r="N625" s="38"/>
      <c r="O625" s="37"/>
      <c r="P625" s="38"/>
      <c r="Q625" s="37"/>
      <c r="R625" s="37"/>
      <c r="S625" s="37"/>
    </row>
    <row r="626" spans="1:19" x14ac:dyDescent="0.25">
      <c r="A626" s="37"/>
      <c r="C626" s="37"/>
      <c r="D626" s="38"/>
      <c r="E626" s="37"/>
      <c r="F626" s="38"/>
      <c r="G626" s="37"/>
      <c r="H626" s="38"/>
      <c r="I626" s="37"/>
      <c r="J626" s="38"/>
      <c r="K626" s="37"/>
      <c r="L626" s="38"/>
      <c r="M626" s="37"/>
      <c r="N626" s="38"/>
      <c r="O626" s="37"/>
      <c r="P626" s="38"/>
      <c r="Q626" s="37"/>
      <c r="R626" s="37"/>
      <c r="S626" s="37"/>
    </row>
    <row r="627" spans="1:19" x14ac:dyDescent="0.25">
      <c r="A627" s="37"/>
      <c r="C627" s="37"/>
      <c r="D627" s="38"/>
      <c r="E627" s="37"/>
      <c r="F627" s="38"/>
      <c r="G627" s="37"/>
      <c r="H627" s="38"/>
      <c r="I627" s="37"/>
      <c r="J627" s="38"/>
      <c r="K627" s="37"/>
      <c r="L627" s="38"/>
      <c r="M627" s="37"/>
      <c r="N627" s="38"/>
      <c r="O627" s="37"/>
      <c r="P627" s="38"/>
      <c r="Q627" s="37"/>
      <c r="R627" s="37"/>
      <c r="S627" s="37"/>
    </row>
    <row r="628" spans="1:19" x14ac:dyDescent="0.25">
      <c r="A628" s="37"/>
      <c r="C628" s="37"/>
      <c r="D628" s="38"/>
      <c r="E628" s="37"/>
      <c r="F628" s="38"/>
      <c r="G628" s="37"/>
      <c r="H628" s="38"/>
      <c r="I628" s="37"/>
      <c r="J628" s="38"/>
      <c r="K628" s="37"/>
      <c r="L628" s="38"/>
      <c r="M628" s="37"/>
      <c r="N628" s="38"/>
      <c r="O628" s="37"/>
      <c r="P628" s="38"/>
      <c r="Q628" s="37"/>
      <c r="R628" s="37"/>
      <c r="S628" s="37"/>
    </row>
    <row r="629" spans="1:19" x14ac:dyDescent="0.25">
      <c r="A629" s="37"/>
      <c r="C629" s="37"/>
      <c r="D629" s="38"/>
      <c r="E629" s="37"/>
      <c r="F629" s="38"/>
      <c r="G629" s="37"/>
      <c r="H629" s="38"/>
      <c r="I629" s="37"/>
      <c r="J629" s="38"/>
      <c r="K629" s="37"/>
      <c r="L629" s="38"/>
      <c r="M629" s="37"/>
      <c r="N629" s="38"/>
      <c r="O629" s="37"/>
      <c r="P629" s="38"/>
      <c r="Q629" s="37"/>
      <c r="R629" s="37"/>
      <c r="S629" s="37"/>
    </row>
    <row r="630" spans="1:19" x14ac:dyDescent="0.25">
      <c r="A630" s="37"/>
      <c r="C630" s="37"/>
      <c r="D630" s="38"/>
      <c r="E630" s="37"/>
      <c r="F630" s="38"/>
      <c r="G630" s="37"/>
      <c r="H630" s="38"/>
      <c r="I630" s="37"/>
      <c r="J630" s="38"/>
      <c r="K630" s="37"/>
      <c r="L630" s="38"/>
      <c r="M630" s="37"/>
      <c r="N630" s="38"/>
      <c r="O630" s="37"/>
      <c r="P630" s="38"/>
      <c r="Q630" s="37"/>
      <c r="R630" s="37"/>
      <c r="S630" s="37"/>
    </row>
    <row r="631" spans="1:19" x14ac:dyDescent="0.25">
      <c r="A631" s="37"/>
      <c r="C631" s="37"/>
      <c r="D631" s="38"/>
      <c r="E631" s="37"/>
      <c r="F631" s="38"/>
      <c r="G631" s="37"/>
      <c r="H631" s="38"/>
      <c r="I631" s="37"/>
      <c r="J631" s="38"/>
      <c r="K631" s="37"/>
      <c r="L631" s="38"/>
      <c r="M631" s="37"/>
      <c r="N631" s="38"/>
      <c r="O631" s="37"/>
      <c r="P631" s="38"/>
      <c r="Q631" s="37"/>
      <c r="R631" s="37"/>
      <c r="S631" s="37"/>
    </row>
    <row r="632" spans="1:19" x14ac:dyDescent="0.25">
      <c r="A632" s="37"/>
      <c r="C632" s="37"/>
      <c r="D632" s="38"/>
      <c r="E632" s="37"/>
      <c r="F632" s="38"/>
      <c r="G632" s="37"/>
      <c r="H632" s="38"/>
      <c r="I632" s="37"/>
      <c r="J632" s="38"/>
      <c r="K632" s="37"/>
      <c r="L632" s="38"/>
      <c r="M632" s="37"/>
      <c r="N632" s="38"/>
      <c r="O632" s="37"/>
      <c r="P632" s="38"/>
      <c r="Q632" s="37"/>
      <c r="R632" s="37"/>
      <c r="S632" s="37"/>
    </row>
    <row r="633" spans="1:19" x14ac:dyDescent="0.25">
      <c r="A633" s="37"/>
      <c r="C633" s="37"/>
      <c r="D633" s="38"/>
      <c r="E633" s="37"/>
      <c r="F633" s="38"/>
      <c r="G633" s="37"/>
      <c r="H633" s="38"/>
      <c r="I633" s="37"/>
      <c r="J633" s="38"/>
      <c r="K633" s="37"/>
      <c r="L633" s="38"/>
      <c r="M633" s="37"/>
      <c r="N633" s="38"/>
      <c r="O633" s="37"/>
      <c r="P633" s="38"/>
      <c r="Q633" s="37"/>
      <c r="R633" s="37"/>
      <c r="S633" s="37"/>
    </row>
    <row r="634" spans="1:19" x14ac:dyDescent="0.25">
      <c r="A634" s="37"/>
      <c r="C634" s="37"/>
      <c r="D634" s="38"/>
      <c r="E634" s="37"/>
      <c r="F634" s="38"/>
      <c r="G634" s="37"/>
      <c r="H634" s="38"/>
      <c r="I634" s="37"/>
      <c r="J634" s="38"/>
      <c r="K634" s="37"/>
      <c r="L634" s="38"/>
      <c r="M634" s="37"/>
      <c r="N634" s="38"/>
      <c r="O634" s="37"/>
      <c r="P634" s="38"/>
      <c r="Q634" s="37"/>
      <c r="R634" s="37"/>
      <c r="S634" s="37"/>
    </row>
    <row r="635" spans="1:19" x14ac:dyDescent="0.25">
      <c r="A635" s="37"/>
      <c r="C635" s="37"/>
      <c r="D635" s="38"/>
      <c r="E635" s="37"/>
      <c r="F635" s="38"/>
      <c r="G635" s="37"/>
      <c r="H635" s="38"/>
      <c r="I635" s="37"/>
      <c r="J635" s="38"/>
      <c r="K635" s="37"/>
      <c r="L635" s="38"/>
      <c r="M635" s="37"/>
      <c r="N635" s="38"/>
      <c r="O635" s="37"/>
      <c r="P635" s="38"/>
      <c r="Q635" s="37"/>
      <c r="R635" s="37"/>
      <c r="S635" s="37"/>
    </row>
    <row r="636" spans="1:19" x14ac:dyDescent="0.25">
      <c r="A636" s="37"/>
      <c r="C636" s="37"/>
      <c r="D636" s="38"/>
      <c r="E636" s="37"/>
      <c r="F636" s="38"/>
      <c r="G636" s="37"/>
      <c r="H636" s="38"/>
      <c r="I636" s="37"/>
      <c r="J636" s="38"/>
      <c r="K636" s="37"/>
      <c r="L636" s="38"/>
      <c r="M636" s="37"/>
      <c r="N636" s="38"/>
      <c r="O636" s="37"/>
      <c r="P636" s="38"/>
      <c r="Q636" s="37"/>
      <c r="R636" s="37"/>
      <c r="S636" s="37"/>
    </row>
    <row r="637" spans="1:19" x14ac:dyDescent="0.25">
      <c r="A637" s="37"/>
      <c r="C637" s="37"/>
      <c r="D637" s="38"/>
      <c r="E637" s="37"/>
      <c r="F637" s="38"/>
      <c r="G637" s="37"/>
      <c r="H637" s="38"/>
      <c r="I637" s="37"/>
      <c r="J637" s="38"/>
      <c r="K637" s="37"/>
      <c r="L637" s="38"/>
      <c r="M637" s="37"/>
      <c r="N637" s="38"/>
      <c r="O637" s="37"/>
      <c r="P637" s="38"/>
      <c r="Q637" s="37"/>
      <c r="R637" s="37"/>
      <c r="S637" s="37"/>
    </row>
    <row r="638" spans="1:19" x14ac:dyDescent="0.25">
      <c r="A638" s="37"/>
      <c r="C638" s="37"/>
      <c r="D638" s="38"/>
      <c r="E638" s="37"/>
      <c r="F638" s="38"/>
      <c r="G638" s="37"/>
      <c r="H638" s="38"/>
      <c r="I638" s="37"/>
      <c r="J638" s="38"/>
      <c r="K638" s="37"/>
      <c r="L638" s="38"/>
      <c r="M638" s="37"/>
      <c r="N638" s="38"/>
      <c r="O638" s="37"/>
      <c r="P638" s="38"/>
      <c r="Q638" s="37"/>
      <c r="R638" s="37"/>
      <c r="S638" s="37"/>
    </row>
    <row r="639" spans="1:19" x14ac:dyDescent="0.25">
      <c r="A639" s="37"/>
      <c r="C639" s="37"/>
      <c r="D639" s="38"/>
      <c r="E639" s="37"/>
      <c r="F639" s="38"/>
      <c r="G639" s="37"/>
      <c r="H639" s="38"/>
      <c r="I639" s="37"/>
      <c r="J639" s="38"/>
      <c r="K639" s="37"/>
      <c r="L639" s="38"/>
      <c r="M639" s="37"/>
      <c r="N639" s="38"/>
      <c r="O639" s="37"/>
      <c r="P639" s="38"/>
      <c r="Q639" s="37"/>
      <c r="R639" s="37"/>
      <c r="S639" s="37"/>
    </row>
    <row r="640" spans="1:19" x14ac:dyDescent="0.25">
      <c r="A640" s="37"/>
      <c r="C640" s="37"/>
      <c r="D640" s="38"/>
      <c r="E640" s="37"/>
      <c r="F640" s="38"/>
      <c r="G640" s="37"/>
      <c r="H640" s="38"/>
      <c r="I640" s="37"/>
      <c r="J640" s="38"/>
      <c r="K640" s="37"/>
      <c r="L640" s="38"/>
      <c r="M640" s="37"/>
      <c r="N640" s="38"/>
      <c r="O640" s="37"/>
      <c r="P640" s="38"/>
      <c r="Q640" s="37"/>
      <c r="R640" s="37"/>
      <c r="S640" s="37"/>
    </row>
    <row r="641" spans="1:19" x14ac:dyDescent="0.25">
      <c r="A641" s="37"/>
      <c r="C641" s="37"/>
      <c r="D641" s="38"/>
      <c r="E641" s="37"/>
      <c r="F641" s="38"/>
      <c r="G641" s="37"/>
      <c r="H641" s="38"/>
      <c r="I641" s="37"/>
      <c r="J641" s="38"/>
      <c r="K641" s="37"/>
      <c r="L641" s="38"/>
      <c r="M641" s="37"/>
      <c r="N641" s="38"/>
      <c r="O641" s="37"/>
      <c r="P641" s="38"/>
      <c r="Q641" s="37"/>
      <c r="R641" s="37"/>
      <c r="S641" s="37"/>
    </row>
    <row r="642" spans="1:19" x14ac:dyDescent="0.25">
      <c r="A642" s="37"/>
      <c r="C642" s="37"/>
      <c r="D642" s="38"/>
      <c r="E642" s="37"/>
      <c r="F642" s="38"/>
      <c r="G642" s="37"/>
      <c r="H642" s="38"/>
      <c r="I642" s="37"/>
      <c r="J642" s="38"/>
      <c r="K642" s="37"/>
      <c r="L642" s="38"/>
      <c r="M642" s="37"/>
      <c r="N642" s="38"/>
      <c r="O642" s="37"/>
      <c r="P642" s="38"/>
      <c r="Q642" s="37"/>
      <c r="R642" s="37"/>
      <c r="S642" s="37"/>
    </row>
    <row r="643" spans="1:19" x14ac:dyDescent="0.25">
      <c r="A643" s="37"/>
      <c r="C643" s="37"/>
      <c r="D643" s="38"/>
      <c r="E643" s="37"/>
      <c r="F643" s="38"/>
      <c r="G643" s="37"/>
      <c r="H643" s="38"/>
      <c r="I643" s="37"/>
      <c r="J643" s="38"/>
      <c r="K643" s="37"/>
      <c r="L643" s="38"/>
      <c r="M643" s="37"/>
      <c r="N643" s="38"/>
      <c r="O643" s="37"/>
      <c r="P643" s="38"/>
      <c r="Q643" s="37"/>
      <c r="R643" s="37"/>
      <c r="S643" s="37"/>
    </row>
    <row r="644" spans="1:19" x14ac:dyDescent="0.25">
      <c r="A644" s="37"/>
      <c r="C644" s="37"/>
      <c r="D644" s="38"/>
      <c r="E644" s="37"/>
      <c r="F644" s="38"/>
      <c r="G644" s="37"/>
      <c r="H644" s="38"/>
      <c r="I644" s="37"/>
      <c r="J644" s="38"/>
      <c r="K644" s="37"/>
      <c r="L644" s="38"/>
      <c r="M644" s="37"/>
      <c r="N644" s="38"/>
      <c r="O644" s="37"/>
      <c r="P644" s="38"/>
      <c r="Q644" s="37"/>
      <c r="R644" s="37"/>
      <c r="S644" s="37"/>
    </row>
    <row r="645" spans="1:19" x14ac:dyDescent="0.25">
      <c r="A645" s="37"/>
      <c r="C645" s="37"/>
      <c r="D645" s="38"/>
      <c r="E645" s="37"/>
      <c r="F645" s="38"/>
      <c r="G645" s="37"/>
      <c r="H645" s="38"/>
      <c r="I645" s="37"/>
      <c r="J645" s="38"/>
      <c r="K645" s="37"/>
      <c r="L645" s="38"/>
      <c r="M645" s="37"/>
      <c r="N645" s="38"/>
      <c r="O645" s="37"/>
      <c r="P645" s="38"/>
      <c r="Q645" s="37"/>
      <c r="R645" s="37"/>
      <c r="S645" s="37"/>
    </row>
    <row r="646" spans="1:19" x14ac:dyDescent="0.25">
      <c r="A646" s="37"/>
      <c r="C646" s="37"/>
      <c r="D646" s="38"/>
      <c r="E646" s="37"/>
      <c r="F646" s="38"/>
      <c r="G646" s="37"/>
      <c r="H646" s="38"/>
      <c r="I646" s="37"/>
      <c r="J646" s="38"/>
      <c r="K646" s="37"/>
      <c r="L646" s="38"/>
      <c r="M646" s="37"/>
      <c r="N646" s="38"/>
      <c r="O646" s="37"/>
      <c r="P646" s="38"/>
      <c r="Q646" s="37"/>
      <c r="R646" s="37"/>
      <c r="S646" s="37"/>
    </row>
    <row r="647" spans="1:19" x14ac:dyDescent="0.25">
      <c r="A647" s="37"/>
      <c r="C647" s="37"/>
      <c r="D647" s="38"/>
      <c r="E647" s="37"/>
      <c r="F647" s="38"/>
      <c r="G647" s="37"/>
      <c r="H647" s="38"/>
      <c r="I647" s="37"/>
      <c r="J647" s="38"/>
      <c r="K647" s="37"/>
      <c r="L647" s="38"/>
      <c r="M647" s="37"/>
      <c r="N647" s="38"/>
      <c r="O647" s="37"/>
      <c r="P647" s="38"/>
      <c r="Q647" s="37"/>
      <c r="R647" s="37"/>
      <c r="S647" s="37"/>
    </row>
    <row r="648" spans="1:19" x14ac:dyDescent="0.25">
      <c r="A648" s="37"/>
      <c r="C648" s="37"/>
      <c r="D648" s="38"/>
      <c r="E648" s="37"/>
      <c r="F648" s="38"/>
      <c r="G648" s="37"/>
      <c r="H648" s="38"/>
      <c r="I648" s="37"/>
      <c r="J648" s="38"/>
      <c r="K648" s="37"/>
      <c r="L648" s="38"/>
      <c r="M648" s="37"/>
      <c r="N648" s="38"/>
      <c r="O648" s="37"/>
      <c r="P648" s="38"/>
      <c r="Q648" s="37"/>
      <c r="R648" s="37"/>
      <c r="S648" s="37"/>
    </row>
    <row r="649" spans="1:19" x14ac:dyDescent="0.25">
      <c r="A649" s="37"/>
      <c r="C649" s="37"/>
      <c r="D649" s="38"/>
      <c r="E649" s="37"/>
      <c r="F649" s="38"/>
      <c r="G649" s="37"/>
      <c r="H649" s="38"/>
      <c r="I649" s="37"/>
      <c r="J649" s="38"/>
      <c r="K649" s="37"/>
      <c r="L649" s="38"/>
      <c r="M649" s="37"/>
      <c r="N649" s="38"/>
      <c r="O649" s="37"/>
      <c r="P649" s="38"/>
      <c r="Q649" s="37"/>
      <c r="R649" s="37"/>
      <c r="S649" s="37"/>
    </row>
    <row r="650" spans="1:19" x14ac:dyDescent="0.25">
      <c r="A650" s="37"/>
      <c r="C650" s="37"/>
      <c r="D650" s="38"/>
      <c r="E650" s="37"/>
      <c r="F650" s="38"/>
      <c r="G650" s="37"/>
      <c r="H650" s="38"/>
      <c r="I650" s="37"/>
      <c r="J650" s="38"/>
      <c r="K650" s="37"/>
      <c r="L650" s="38"/>
      <c r="M650" s="37"/>
      <c r="N650" s="38"/>
      <c r="O650" s="37"/>
      <c r="P650" s="38"/>
      <c r="Q650" s="37"/>
      <c r="R650" s="37"/>
      <c r="S650" s="37"/>
    </row>
    <row r="651" spans="1:19" x14ac:dyDescent="0.25">
      <c r="A651" s="37"/>
      <c r="C651" s="37"/>
      <c r="D651" s="38"/>
      <c r="E651" s="37"/>
      <c r="F651" s="38"/>
      <c r="G651" s="37"/>
      <c r="H651" s="38"/>
      <c r="I651" s="37"/>
      <c r="J651" s="38"/>
      <c r="K651" s="37"/>
      <c r="L651" s="38"/>
      <c r="M651" s="37"/>
      <c r="N651" s="38"/>
      <c r="O651" s="37"/>
      <c r="P651" s="38"/>
      <c r="Q651" s="37"/>
      <c r="R651" s="37"/>
      <c r="S651" s="37"/>
    </row>
    <row r="652" spans="1:19" x14ac:dyDescent="0.25">
      <c r="A652" s="37"/>
      <c r="C652" s="37"/>
      <c r="D652" s="38"/>
      <c r="E652" s="37"/>
      <c r="F652" s="38"/>
      <c r="G652" s="37"/>
      <c r="H652" s="38"/>
      <c r="I652" s="37"/>
      <c r="J652" s="38"/>
      <c r="K652" s="37"/>
      <c r="L652" s="38"/>
      <c r="M652" s="37"/>
      <c r="N652" s="38"/>
      <c r="O652" s="37"/>
      <c r="P652" s="38"/>
      <c r="Q652" s="37"/>
      <c r="R652" s="37"/>
      <c r="S652" s="37"/>
    </row>
    <row r="653" spans="1:19" x14ac:dyDescent="0.25">
      <c r="A653" s="37"/>
      <c r="C653" s="37"/>
      <c r="D653" s="38"/>
      <c r="E653" s="37"/>
      <c r="F653" s="38"/>
      <c r="G653" s="37"/>
      <c r="H653" s="38"/>
      <c r="I653" s="37"/>
      <c r="J653" s="38"/>
      <c r="K653" s="37"/>
      <c r="L653" s="38"/>
      <c r="M653" s="37"/>
      <c r="N653" s="38"/>
      <c r="O653" s="37"/>
      <c r="P653" s="38"/>
      <c r="Q653" s="37"/>
      <c r="R653" s="37"/>
      <c r="S653" s="37"/>
    </row>
    <row r="654" spans="1:19" x14ac:dyDescent="0.25">
      <c r="A654" s="37"/>
      <c r="C654" s="37"/>
      <c r="D654" s="38"/>
      <c r="E654" s="37"/>
      <c r="F654" s="38"/>
      <c r="G654" s="37"/>
      <c r="H654" s="38"/>
      <c r="I654" s="37"/>
      <c r="J654" s="38"/>
      <c r="K654" s="37"/>
      <c r="L654" s="38"/>
      <c r="M654" s="37"/>
      <c r="N654" s="38"/>
      <c r="O654" s="37"/>
      <c r="P654" s="38"/>
      <c r="Q654" s="37"/>
      <c r="R654" s="37"/>
      <c r="S654" s="37"/>
    </row>
    <row r="655" spans="1:19" x14ac:dyDescent="0.25">
      <c r="A655" s="37"/>
      <c r="C655" s="37"/>
      <c r="D655" s="38"/>
      <c r="E655" s="37"/>
      <c r="F655" s="38"/>
      <c r="G655" s="37"/>
      <c r="H655" s="38"/>
      <c r="I655" s="37"/>
      <c r="J655" s="38"/>
      <c r="K655" s="37"/>
      <c r="L655" s="38"/>
      <c r="M655" s="37"/>
      <c r="N655" s="38"/>
      <c r="O655" s="37"/>
      <c r="P655" s="38"/>
      <c r="Q655" s="37"/>
      <c r="R655" s="37"/>
      <c r="S655" s="37"/>
    </row>
    <row r="656" spans="1:19" x14ac:dyDescent="0.25">
      <c r="A656" s="37"/>
      <c r="C656" s="37"/>
      <c r="D656" s="38"/>
      <c r="E656" s="37"/>
      <c r="F656" s="38"/>
      <c r="G656" s="37"/>
      <c r="H656" s="38"/>
      <c r="I656" s="37"/>
      <c r="J656" s="38"/>
      <c r="K656" s="37"/>
      <c r="L656" s="38"/>
      <c r="M656" s="37"/>
      <c r="N656" s="38"/>
      <c r="O656" s="37"/>
      <c r="P656" s="38"/>
      <c r="Q656" s="37"/>
      <c r="R656" s="37"/>
      <c r="S656" s="37"/>
    </row>
  </sheetData>
  <phoneticPr fontId="0" type="noConversion"/>
  <pageMargins left="1" right="1" top="0.5" bottom="0.25" header="0.25" footer="0"/>
  <pageSetup orientation="portrait" r:id="rId1"/>
  <headerFooter alignWithMargins="0">
    <oddFooter>&amp;L&amp;"Times New Roman,Regular"&amp;9&amp;D &amp;C&amp;"Times New Roman,Regular"&amp;9&amp;Z&amp;F&amp;R&amp;"Times New Roman,Regular"&amp;9&amp;A</oddFooter>
  </headerFooter>
  <rowBreaks count="2" manualBreakCount="2">
    <brk id="53" max="7" man="1"/>
    <brk id="5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N43"/>
  <sheetViews>
    <sheetView showGridLines="0" view="pageBreakPreview" topLeftCell="A13" zoomScaleNormal="100" zoomScaleSheetLayoutView="100" workbookViewId="0">
      <selection activeCell="A43" sqref="A43"/>
    </sheetView>
  </sheetViews>
  <sheetFormatPr defaultColWidth="9.77734375" defaultRowHeight="15" x14ac:dyDescent="0.25"/>
  <cols>
    <col min="1" max="1" width="24.21875" style="81" customWidth="1"/>
    <col min="2" max="2" width="3.44140625" style="81" customWidth="1"/>
    <col min="3" max="3" width="8.6640625" style="81" customWidth="1"/>
    <col min="4" max="4" width="1.33203125" style="81" customWidth="1"/>
    <col min="5" max="5" width="8.33203125" style="81" customWidth="1"/>
    <col min="6" max="6" width="1.77734375" style="81" hidden="1" customWidth="1"/>
    <col min="7" max="7" width="7.88671875" style="81" hidden="1" customWidth="1"/>
    <col min="8" max="8" width="1.33203125" style="81" customWidth="1"/>
    <col min="9" max="9" width="7.33203125" style="81" customWidth="1"/>
    <col min="10" max="10" width="1" style="81" customWidth="1"/>
    <col min="11" max="11" width="16" style="81" bestFit="1" customWidth="1"/>
    <col min="12" max="12" width="12.77734375" style="81" customWidth="1"/>
    <col min="13" max="14" width="9.77734375" style="81"/>
    <col min="15" max="15" width="8.77734375" style="81" customWidth="1"/>
    <col min="16" max="16" width="9.77734375" style="81"/>
    <col min="17" max="17" width="10.77734375" style="81" customWidth="1"/>
    <col min="18" max="16384" width="9.77734375" style="81"/>
  </cols>
  <sheetData>
    <row r="1" spans="1:11" x14ac:dyDescent="0.25">
      <c r="K1" s="148" t="s">
        <v>237</v>
      </c>
    </row>
    <row r="2" spans="1:11" x14ac:dyDescent="0.25">
      <c r="A2" s="624" t="s">
        <v>47</v>
      </c>
      <c r="B2" s="624"/>
      <c r="C2" s="624"/>
      <c r="D2" s="624"/>
      <c r="E2" s="624"/>
      <c r="F2" s="624"/>
      <c r="G2" s="624"/>
      <c r="H2" s="624"/>
      <c r="I2" s="624"/>
      <c r="J2" s="624"/>
      <c r="K2" s="148"/>
    </row>
    <row r="3" spans="1:11" x14ac:dyDescent="0.25">
      <c r="A3" s="624" t="s">
        <v>226</v>
      </c>
      <c r="B3" s="624"/>
      <c r="C3" s="624"/>
      <c r="D3" s="624"/>
      <c r="E3" s="624"/>
      <c r="F3" s="624"/>
      <c r="G3" s="624"/>
      <c r="H3" s="624"/>
      <c r="I3" s="624"/>
      <c r="J3" s="624"/>
      <c r="K3" s="149"/>
    </row>
    <row r="4" spans="1:11" x14ac:dyDescent="0.25">
      <c r="A4" s="625">
        <f>'Consolidated Budget'!A4</f>
        <v>43738</v>
      </c>
      <c r="B4" s="625"/>
      <c r="C4" s="625"/>
      <c r="D4" s="625"/>
      <c r="E4" s="625"/>
      <c r="F4" s="625"/>
      <c r="G4" s="625"/>
      <c r="H4" s="625"/>
      <c r="I4" s="625"/>
      <c r="J4" s="625"/>
      <c r="K4" s="149"/>
    </row>
    <row r="8" spans="1:11" x14ac:dyDescent="0.25">
      <c r="E8" s="150" t="s">
        <v>92</v>
      </c>
      <c r="F8" s="150"/>
      <c r="G8" s="150" t="s">
        <v>92</v>
      </c>
    </row>
    <row r="9" spans="1:11" x14ac:dyDescent="0.25">
      <c r="C9" s="150" t="s">
        <v>91</v>
      </c>
      <c r="D9" s="150"/>
      <c r="E9" s="150" t="s">
        <v>94</v>
      </c>
      <c r="F9" s="150"/>
      <c r="G9" s="150" t="s">
        <v>94</v>
      </c>
      <c r="I9" s="150" t="s">
        <v>93</v>
      </c>
    </row>
    <row r="10" spans="1:11" x14ac:dyDescent="0.25">
      <c r="A10" s="150" t="s">
        <v>397</v>
      </c>
      <c r="C10" s="150" t="s">
        <v>84</v>
      </c>
      <c r="D10" s="150"/>
      <c r="E10" s="150" t="s">
        <v>283</v>
      </c>
      <c r="F10" s="150"/>
      <c r="G10" s="150" t="s">
        <v>283</v>
      </c>
      <c r="I10" s="150" t="s">
        <v>95</v>
      </c>
    </row>
    <row r="11" spans="1:11" x14ac:dyDescent="0.25">
      <c r="A11" s="151" t="s">
        <v>96</v>
      </c>
      <c r="C11" s="151" t="s">
        <v>92</v>
      </c>
      <c r="D11" s="315"/>
      <c r="E11" s="152">
        <v>43738</v>
      </c>
      <c r="F11" s="153"/>
      <c r="G11" s="152">
        <v>40816</v>
      </c>
      <c r="I11" s="151" t="s">
        <v>97</v>
      </c>
      <c r="K11" s="154" t="s">
        <v>98</v>
      </c>
    </row>
    <row r="12" spans="1:11" x14ac:dyDescent="0.25">
      <c r="C12" s="155"/>
      <c r="D12" s="155"/>
      <c r="E12" s="155"/>
      <c r="F12" s="155"/>
      <c r="G12" s="155"/>
    </row>
    <row r="13" spans="1:11" x14ac:dyDescent="0.25">
      <c r="A13" s="606" t="s">
        <v>576</v>
      </c>
      <c r="C13" s="158"/>
      <c r="D13" s="158"/>
      <c r="E13" s="158"/>
      <c r="F13" s="158"/>
      <c r="G13" s="158"/>
      <c r="H13" s="155"/>
      <c r="I13" s="159"/>
    </row>
    <row r="14" spans="1:11" ht="7.5" customHeight="1" x14ac:dyDescent="0.25">
      <c r="A14" s="156"/>
      <c r="C14" s="155"/>
      <c r="D14" s="155"/>
      <c r="E14" s="155"/>
      <c r="F14" s="155"/>
      <c r="G14" s="155"/>
      <c r="H14" s="155"/>
      <c r="I14" s="176"/>
    </row>
    <row r="15" spans="1:11" x14ac:dyDescent="0.25">
      <c r="A15" s="610" t="s">
        <v>577</v>
      </c>
      <c r="C15" s="155"/>
      <c r="D15" s="155"/>
      <c r="E15" s="155"/>
      <c r="F15" s="155"/>
      <c r="G15" s="155"/>
      <c r="H15" s="155"/>
      <c r="I15" s="176"/>
    </row>
    <row r="16" spans="1:11" x14ac:dyDescent="0.25">
      <c r="A16" s="605" t="s">
        <v>578</v>
      </c>
      <c r="C16" s="298"/>
      <c r="D16" s="155"/>
      <c r="E16" s="298"/>
      <c r="F16" s="155"/>
      <c r="G16" s="155"/>
      <c r="H16" s="155"/>
      <c r="I16" s="153"/>
    </row>
    <row r="17" spans="1:11" x14ac:dyDescent="0.25">
      <c r="A17" s="611" t="s">
        <v>579</v>
      </c>
      <c r="C17" s="608">
        <v>100000</v>
      </c>
      <c r="D17" s="608"/>
      <c r="E17" s="608">
        <v>100000</v>
      </c>
      <c r="F17" s="155"/>
      <c r="G17" s="155"/>
      <c r="H17" s="155"/>
      <c r="I17" s="176">
        <v>43738</v>
      </c>
      <c r="K17" s="81" t="s">
        <v>580</v>
      </c>
    </row>
    <row r="18" spans="1:11" x14ac:dyDescent="0.25">
      <c r="A18" s="611"/>
      <c r="C18" s="612"/>
      <c r="D18" s="612"/>
      <c r="E18" s="612"/>
      <c r="F18" s="155"/>
      <c r="G18" s="155"/>
      <c r="H18" s="155"/>
      <c r="I18" s="176"/>
    </row>
    <row r="19" spans="1:11" x14ac:dyDescent="0.25">
      <c r="A19" s="605" t="s">
        <v>581</v>
      </c>
      <c r="C19" s="612"/>
      <c r="D19" s="612"/>
      <c r="E19" s="612"/>
      <c r="F19" s="155"/>
      <c r="G19" s="155"/>
      <c r="H19" s="155"/>
      <c r="I19" s="176"/>
    </row>
    <row r="20" spans="1:11" x14ac:dyDescent="0.25">
      <c r="A20" s="611" t="s">
        <v>575</v>
      </c>
      <c r="C20" s="613">
        <v>15000</v>
      </c>
      <c r="D20" s="613"/>
      <c r="E20" s="613">
        <v>15000</v>
      </c>
      <c r="F20" s="155"/>
      <c r="G20" s="155"/>
      <c r="H20" s="155"/>
      <c r="I20" s="176">
        <v>43738</v>
      </c>
      <c r="K20" s="81" t="s">
        <v>580</v>
      </c>
    </row>
    <row r="21" spans="1:11" x14ac:dyDescent="0.25">
      <c r="A21" s="611"/>
      <c r="C21" s="612"/>
      <c r="D21" s="612"/>
      <c r="E21" s="612"/>
      <c r="F21" s="155"/>
      <c r="G21" s="155"/>
      <c r="H21" s="155"/>
      <c r="I21" s="176"/>
    </row>
    <row r="22" spans="1:11" x14ac:dyDescent="0.25">
      <c r="A22" s="611" t="s">
        <v>583</v>
      </c>
      <c r="C22" s="613">
        <f>+C17+C20</f>
        <v>115000</v>
      </c>
      <c r="D22" s="613"/>
      <c r="E22" s="613">
        <f>+E17+E20</f>
        <v>115000</v>
      </c>
      <c r="F22" s="607"/>
      <c r="G22" s="607"/>
      <c r="H22" s="607"/>
      <c r="I22" s="176"/>
    </row>
    <row r="23" spans="1:11" x14ac:dyDescent="0.25">
      <c r="A23" s="611"/>
      <c r="C23" s="612"/>
      <c r="D23" s="612"/>
      <c r="E23" s="612"/>
      <c r="F23" s="155"/>
      <c r="G23" s="155"/>
      <c r="H23" s="155"/>
      <c r="I23" s="176"/>
    </row>
    <row r="24" spans="1:11" x14ac:dyDescent="0.25">
      <c r="A24" s="610" t="s">
        <v>582</v>
      </c>
      <c r="C24" s="612"/>
      <c r="D24" s="612"/>
      <c r="E24" s="612"/>
      <c r="F24" s="155"/>
      <c r="G24" s="155"/>
      <c r="H24" s="155"/>
      <c r="I24" s="176"/>
    </row>
    <row r="25" spans="1:11" x14ac:dyDescent="0.25">
      <c r="A25" s="605" t="s">
        <v>584</v>
      </c>
      <c r="C25" s="612"/>
      <c r="D25" s="612"/>
      <c r="E25" s="612"/>
      <c r="F25" s="155"/>
      <c r="G25" s="155"/>
      <c r="H25" s="155"/>
      <c r="I25" s="176"/>
    </row>
    <row r="26" spans="1:11" x14ac:dyDescent="0.25">
      <c r="A26" s="611" t="s">
        <v>561</v>
      </c>
      <c r="C26" s="612">
        <v>15000</v>
      </c>
      <c r="D26" s="612"/>
      <c r="E26" s="612">
        <v>15000</v>
      </c>
      <c r="F26" s="155"/>
      <c r="G26" s="155"/>
      <c r="H26" s="155"/>
      <c r="I26" s="176">
        <v>43738</v>
      </c>
      <c r="K26" s="81" t="s">
        <v>582</v>
      </c>
    </row>
    <row r="27" spans="1:11" x14ac:dyDescent="0.25">
      <c r="C27" s="613"/>
      <c r="D27" s="613"/>
      <c r="E27" s="613"/>
      <c r="F27" s="155"/>
      <c r="G27" s="155"/>
      <c r="H27" s="155"/>
      <c r="I27" s="176"/>
    </row>
    <row r="28" spans="1:11" x14ac:dyDescent="0.25">
      <c r="A28" s="611" t="s">
        <v>595</v>
      </c>
      <c r="C28" s="613">
        <v>30000</v>
      </c>
      <c r="D28" s="613"/>
      <c r="E28" s="613">
        <v>30000</v>
      </c>
      <c r="F28" s="155"/>
      <c r="G28" s="155"/>
      <c r="H28" s="155"/>
      <c r="I28" s="176">
        <v>43738</v>
      </c>
      <c r="K28" s="81" t="s">
        <v>582</v>
      </c>
    </row>
    <row r="29" spans="1:11" x14ac:dyDescent="0.25">
      <c r="A29" s="611"/>
      <c r="C29" s="613"/>
      <c r="D29" s="613"/>
      <c r="E29" s="613"/>
      <c r="F29" s="155"/>
      <c r="G29" s="155"/>
      <c r="H29" s="155"/>
      <c r="I29" s="176"/>
    </row>
    <row r="30" spans="1:11" x14ac:dyDescent="0.25">
      <c r="A30" s="611" t="s">
        <v>596</v>
      </c>
      <c r="C30" s="613">
        <f>SUM(C26:C28)</f>
        <v>45000</v>
      </c>
      <c r="D30" s="613"/>
      <c r="E30" s="613">
        <f>SUM(E26:E28)</f>
        <v>45000</v>
      </c>
      <c r="F30" s="155"/>
      <c r="G30" s="155"/>
      <c r="H30" s="155"/>
      <c r="I30" s="176"/>
    </row>
    <row r="31" spans="1:11" x14ac:dyDescent="0.25">
      <c r="A31" s="157"/>
      <c r="C31" s="612"/>
      <c r="D31" s="612"/>
      <c r="E31" s="612"/>
      <c r="F31" s="155"/>
      <c r="G31" s="155"/>
      <c r="H31" s="155"/>
      <c r="I31" s="176"/>
      <c r="K31" s="150"/>
    </row>
    <row r="32" spans="1:11" x14ac:dyDescent="0.25">
      <c r="A32" s="609" t="s">
        <v>588</v>
      </c>
      <c r="B32" s="156"/>
      <c r="C32" s="613">
        <f>+C22+C30</f>
        <v>160000</v>
      </c>
      <c r="D32" s="613"/>
      <c r="E32" s="613">
        <f>+E22+E30</f>
        <v>160000</v>
      </c>
      <c r="F32" s="607"/>
      <c r="G32" s="607">
        <f>SUM(G13:G13)</f>
        <v>0</v>
      </c>
      <c r="H32" s="607"/>
      <c r="I32" s="161"/>
    </row>
    <row r="33" spans="1:14" x14ac:dyDescent="0.25">
      <c r="C33" s="614"/>
      <c r="D33" s="614"/>
      <c r="E33" s="614"/>
      <c r="G33" s="160"/>
      <c r="I33" s="159"/>
      <c r="N33" s="81" t="s">
        <v>19</v>
      </c>
    </row>
    <row r="34" spans="1:14" x14ac:dyDescent="0.25">
      <c r="A34" s="606" t="s">
        <v>589</v>
      </c>
      <c r="C34" s="614"/>
      <c r="D34" s="614"/>
      <c r="E34" s="614"/>
    </row>
    <row r="35" spans="1:14" ht="6.75" customHeight="1" x14ac:dyDescent="0.25">
      <c r="A35" s="156"/>
      <c r="C35" s="614"/>
      <c r="D35" s="614"/>
      <c r="E35" s="614"/>
    </row>
    <row r="36" spans="1:14" x14ac:dyDescent="0.25">
      <c r="A36" s="610" t="s">
        <v>590</v>
      </c>
      <c r="C36" s="614"/>
      <c r="D36" s="614"/>
      <c r="E36" s="614"/>
    </row>
    <row r="37" spans="1:14" x14ac:dyDescent="0.25">
      <c r="A37" s="605" t="s">
        <v>597</v>
      </c>
      <c r="C37" s="614">
        <v>200000</v>
      </c>
      <c r="D37" s="614"/>
      <c r="E37" s="614">
        <v>200000</v>
      </c>
      <c r="I37" s="159">
        <v>43738</v>
      </c>
      <c r="K37" s="81" t="s">
        <v>592</v>
      </c>
    </row>
    <row r="38" spans="1:14" x14ac:dyDescent="0.25">
      <c r="A38" s="610"/>
      <c r="C38" s="614"/>
      <c r="D38" s="614"/>
      <c r="E38" s="614"/>
    </row>
    <row r="39" spans="1:14" ht="17.25" x14ac:dyDescent="0.4">
      <c r="A39" s="605" t="s">
        <v>591</v>
      </c>
      <c r="C39" s="615">
        <v>65000</v>
      </c>
      <c r="D39" s="615"/>
      <c r="E39" s="615">
        <v>65000</v>
      </c>
      <c r="I39" s="159">
        <v>43738</v>
      </c>
      <c r="K39" s="81" t="s">
        <v>592</v>
      </c>
    </row>
    <row r="40" spans="1:14" ht="17.25" x14ac:dyDescent="0.4">
      <c r="A40" s="605"/>
      <c r="C40" s="615"/>
      <c r="D40" s="615"/>
      <c r="E40" s="615"/>
      <c r="I40" s="159"/>
    </row>
    <row r="41" spans="1:14" ht="17.25" x14ac:dyDescent="0.4">
      <c r="A41" s="611" t="s">
        <v>598</v>
      </c>
      <c r="C41" s="615">
        <f>SUM(C37:C39)</f>
        <v>265000</v>
      </c>
      <c r="D41" s="615"/>
      <c r="E41" s="615">
        <f>SUM(E37:E39)</f>
        <v>265000</v>
      </c>
      <c r="I41" s="159"/>
    </row>
    <row r="42" spans="1:14" x14ac:dyDescent="0.25">
      <c r="C42" s="614"/>
      <c r="D42" s="614"/>
      <c r="E42" s="614"/>
    </row>
    <row r="43" spans="1:14" ht="17.25" x14ac:dyDescent="0.4">
      <c r="A43" s="611" t="s">
        <v>276</v>
      </c>
      <c r="C43" s="616">
        <f>+C32+C41</f>
        <v>425000</v>
      </c>
      <c r="D43" s="616"/>
      <c r="E43" s="616">
        <f>+E32+E41</f>
        <v>425000</v>
      </c>
    </row>
  </sheetData>
  <mergeCells count="3">
    <mergeCell ref="A2:J2"/>
    <mergeCell ref="A3:J3"/>
    <mergeCell ref="A4:J4"/>
  </mergeCells>
  <phoneticPr fontId="0" type="noConversion"/>
  <pageMargins left="1" right="1" top="0.5" bottom="0.25" header="0.25" footer="0"/>
  <pageSetup scale="97" orientation="portrait" r:id="rId1"/>
  <headerFooter alignWithMargins="0">
    <oddFooter>&amp;L&amp;"Times New Roman,Regular"&amp;9&amp;D &amp;C&amp;"Times New Roman,Regular"&amp;9&amp;Z&amp;F&amp;R&amp;"Times New Roman,Regular"&amp;9&amp;A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tabColor rgb="FF7030A0"/>
  </sheetPr>
  <dimension ref="A1:P203"/>
  <sheetViews>
    <sheetView view="pageBreakPreview" topLeftCell="A13" zoomScaleNormal="75" zoomScaleSheetLayoutView="100" workbookViewId="0">
      <selection activeCell="E23" sqref="E23"/>
    </sheetView>
  </sheetViews>
  <sheetFormatPr defaultColWidth="9.77734375" defaultRowHeight="15.75" x14ac:dyDescent="0.25"/>
  <cols>
    <col min="1" max="1" width="35.88671875" style="1" bestFit="1" customWidth="1"/>
    <col min="2" max="2" width="1.109375" style="1" customWidth="1"/>
    <col min="3" max="3" width="10.88671875" style="83" customWidth="1"/>
    <col min="4" max="4" width="1.109375" style="1" customWidth="1"/>
    <col min="5" max="5" width="10.21875" style="22" bestFit="1" customWidth="1"/>
    <col min="6" max="6" width="1" style="1" customWidth="1"/>
    <col min="7" max="7" width="10.88671875" style="22" bestFit="1" customWidth="1"/>
    <col min="8" max="8" width="1.5546875" style="1" customWidth="1"/>
    <col min="9" max="9" width="10.109375" style="1" customWidth="1"/>
    <col min="10" max="10" width="8.77734375" style="1" customWidth="1"/>
    <col min="11" max="11" width="9.77734375" style="1"/>
    <col min="12" max="12" width="10.77734375" style="1" customWidth="1"/>
    <col min="13" max="16384" width="9.77734375" style="1"/>
  </cols>
  <sheetData>
    <row r="1" spans="1:11" x14ac:dyDescent="0.25">
      <c r="G1" s="20"/>
      <c r="I1" s="20" t="s">
        <v>238</v>
      </c>
    </row>
    <row r="2" spans="1:11" x14ac:dyDescent="0.25">
      <c r="A2" s="623" t="s">
        <v>47</v>
      </c>
      <c r="B2" s="623"/>
      <c r="C2" s="623"/>
      <c r="D2" s="623"/>
      <c r="E2" s="623"/>
      <c r="F2" s="623"/>
      <c r="G2" s="623"/>
      <c r="H2" s="623"/>
      <c r="I2" s="623"/>
    </row>
    <row r="3" spans="1:11" x14ac:dyDescent="0.25">
      <c r="A3" s="623" t="s">
        <v>227</v>
      </c>
      <c r="B3" s="623"/>
      <c r="C3" s="623"/>
      <c r="D3" s="623"/>
      <c r="E3" s="623"/>
      <c r="F3" s="623"/>
      <c r="G3" s="623"/>
      <c r="H3" s="623"/>
      <c r="I3" s="623"/>
    </row>
    <row r="4" spans="1:11" x14ac:dyDescent="0.25">
      <c r="A4" s="623" t="s">
        <v>555</v>
      </c>
      <c r="B4" s="623"/>
      <c r="C4" s="623"/>
      <c r="D4" s="623"/>
      <c r="E4" s="623"/>
      <c r="F4" s="623"/>
      <c r="G4" s="623"/>
      <c r="H4" s="623"/>
      <c r="I4" s="623"/>
    </row>
    <row r="6" spans="1:11" x14ac:dyDescent="0.25">
      <c r="C6" s="626" t="s">
        <v>99</v>
      </c>
      <c r="D6" s="626"/>
      <c r="E6" s="626"/>
      <c r="F6" s="626"/>
      <c r="G6" s="626"/>
    </row>
    <row r="7" spans="1:11" x14ac:dyDescent="0.25">
      <c r="C7" s="86">
        <v>2017</v>
      </c>
      <c r="D7" s="87"/>
      <c r="E7" s="86">
        <f>C7+1</f>
        <v>2018</v>
      </c>
      <c r="F7" s="87"/>
      <c r="G7" s="86">
        <f>E7+1</f>
        <v>2019</v>
      </c>
    </row>
    <row r="8" spans="1:11" x14ac:dyDescent="0.25">
      <c r="C8" s="596" t="s">
        <v>83</v>
      </c>
      <c r="D8" s="82"/>
      <c r="E8" s="596" t="s">
        <v>84</v>
      </c>
      <c r="F8" s="82"/>
      <c r="G8" s="596" t="s">
        <v>85</v>
      </c>
    </row>
    <row r="9" spans="1:11" x14ac:dyDescent="0.25">
      <c r="A9" s="2" t="s">
        <v>0</v>
      </c>
    </row>
    <row r="10" spans="1:11" x14ac:dyDescent="0.25">
      <c r="A10" s="1" t="s">
        <v>1</v>
      </c>
      <c r="C10" s="91">
        <f>C56</f>
        <v>153019</v>
      </c>
      <c r="E10" s="30">
        <f>E56</f>
        <v>169259</v>
      </c>
      <c r="G10" s="30">
        <f>G56</f>
        <v>168400</v>
      </c>
      <c r="I10" s="216">
        <f t="shared" ref="I10:I15" si="0">+G10/E10-1</f>
        <v>-5.0750624782138765E-3</v>
      </c>
    </row>
    <row r="11" spans="1:11" x14ac:dyDescent="0.25">
      <c r="A11" s="1" t="s">
        <v>2</v>
      </c>
      <c r="C11" s="72">
        <f>C61</f>
        <v>96820</v>
      </c>
      <c r="E11" s="31">
        <f>E61</f>
        <v>100295</v>
      </c>
      <c r="G11" s="31">
        <f>G61</f>
        <v>100300</v>
      </c>
      <c r="I11" s="216">
        <f t="shared" si="0"/>
        <v>4.9852933845073721E-5</v>
      </c>
    </row>
    <row r="12" spans="1:11" x14ac:dyDescent="0.25">
      <c r="A12" s="1" t="s">
        <v>3</v>
      </c>
      <c r="C12" s="72">
        <f>C71</f>
        <v>125116</v>
      </c>
      <c r="E12" s="31">
        <f>E71</f>
        <v>110586</v>
      </c>
      <c r="G12" s="31">
        <f>G71</f>
        <v>110263</v>
      </c>
      <c r="I12" s="216">
        <f t="shared" si="0"/>
        <v>-2.9208037183729996E-3</v>
      </c>
    </row>
    <row r="13" spans="1:11" x14ac:dyDescent="0.25">
      <c r="A13" s="1" t="s">
        <v>4</v>
      </c>
      <c r="C13" s="72">
        <f>C73</f>
        <v>464664</v>
      </c>
      <c r="E13" s="31">
        <f>E73</f>
        <v>430774</v>
      </c>
      <c r="G13" s="31">
        <f>G73</f>
        <v>450000</v>
      </c>
      <c r="H13" s="49"/>
      <c r="I13" s="216">
        <f t="shared" si="0"/>
        <v>4.4631291582128974E-2</v>
      </c>
      <c r="J13" s="49"/>
    </row>
    <row r="14" spans="1:11" ht="18" x14ac:dyDescent="0.4">
      <c r="A14" s="1" t="s">
        <v>5</v>
      </c>
      <c r="C14" s="75">
        <f>C86</f>
        <v>221320</v>
      </c>
      <c r="E14" s="45">
        <f>E86</f>
        <v>162070</v>
      </c>
      <c r="G14" s="45">
        <f>G86</f>
        <v>177100</v>
      </c>
      <c r="I14" s="297">
        <f t="shared" si="0"/>
        <v>9.2737705929536673E-2</v>
      </c>
    </row>
    <row r="15" spans="1:11" ht="18" x14ac:dyDescent="0.4">
      <c r="A15" s="1" t="s">
        <v>100</v>
      </c>
      <c r="C15" s="75">
        <f>SUM(C10:C14)</f>
        <v>1060939</v>
      </c>
      <c r="D15" s="4"/>
      <c r="E15" s="45">
        <f>SUM(E10:E14)</f>
        <v>972984</v>
      </c>
      <c r="F15" s="4"/>
      <c r="G15" s="45">
        <f>SUM(G10:G14)</f>
        <v>1006063</v>
      </c>
      <c r="I15" s="297">
        <f t="shared" si="0"/>
        <v>3.3997475806385236E-2</v>
      </c>
      <c r="J15" s="49"/>
      <c r="K15" s="49"/>
    </row>
    <row r="16" spans="1:11" x14ac:dyDescent="0.25">
      <c r="C16" s="72"/>
      <c r="D16" s="4"/>
      <c r="E16" s="31"/>
      <c r="F16" s="4"/>
      <c r="G16" s="31"/>
      <c r="J16" s="49"/>
    </row>
    <row r="17" spans="1:14" x14ac:dyDescent="0.25">
      <c r="A17" s="2" t="s">
        <v>7</v>
      </c>
      <c r="C17" s="72"/>
      <c r="D17" s="4"/>
      <c r="E17" s="31"/>
      <c r="F17" s="4"/>
      <c r="G17" s="31"/>
      <c r="K17" s="49"/>
    </row>
    <row r="18" spans="1:14" x14ac:dyDescent="0.25">
      <c r="A18" s="1" t="s">
        <v>8</v>
      </c>
      <c r="C18" s="72">
        <f>C117</f>
        <v>178842</v>
      </c>
      <c r="D18" s="4"/>
      <c r="E18" s="31">
        <f>E117</f>
        <v>159601</v>
      </c>
      <c r="F18" s="4"/>
      <c r="G18" s="31">
        <f>G117</f>
        <v>166490</v>
      </c>
      <c r="I18" s="216">
        <f t="shared" ref="I18:I24" si="1">+G18/E18-1</f>
        <v>4.3163889950564194E-2</v>
      </c>
      <c r="J18" s="49"/>
      <c r="K18" s="49"/>
    </row>
    <row r="19" spans="1:14" x14ac:dyDescent="0.25">
      <c r="A19" s="1" t="s">
        <v>101</v>
      </c>
      <c r="C19" s="72"/>
      <c r="D19" s="4"/>
      <c r="E19" s="31"/>
      <c r="F19" s="4"/>
      <c r="G19" s="31"/>
      <c r="I19" s="216"/>
    </row>
    <row r="20" spans="1:14" x14ac:dyDescent="0.25">
      <c r="A20" s="1" t="s">
        <v>102</v>
      </c>
      <c r="C20" s="72">
        <f>C145</f>
        <v>831152</v>
      </c>
      <c r="D20" s="4"/>
      <c r="E20" s="31">
        <f>E145</f>
        <v>807734</v>
      </c>
      <c r="F20" s="31">
        <f>F145</f>
        <v>0</v>
      </c>
      <c r="G20" s="31">
        <f>G145</f>
        <v>803060</v>
      </c>
      <c r="I20" s="216">
        <f t="shared" si="1"/>
        <v>-5.7865584462211128E-3</v>
      </c>
      <c r="J20" s="49"/>
      <c r="K20" s="169"/>
    </row>
    <row r="21" spans="1:14" x14ac:dyDescent="0.25">
      <c r="A21" s="1" t="s">
        <v>11</v>
      </c>
      <c r="C21" s="72">
        <f>C182</f>
        <v>174580</v>
      </c>
      <c r="D21" s="4"/>
      <c r="E21" s="31">
        <f>E182</f>
        <v>146636</v>
      </c>
      <c r="F21" s="31">
        <f>F182</f>
        <v>0</v>
      </c>
      <c r="G21" s="31">
        <f>G182</f>
        <v>151428</v>
      </c>
      <c r="I21" s="216">
        <f t="shared" si="1"/>
        <v>3.2679560271693164E-2</v>
      </c>
      <c r="J21" s="49"/>
      <c r="K21" s="49"/>
    </row>
    <row r="22" spans="1:14" x14ac:dyDescent="0.25">
      <c r="A22" s="1" t="s">
        <v>13</v>
      </c>
      <c r="C22" s="72">
        <f>C200</f>
        <v>0</v>
      </c>
      <c r="D22" s="4"/>
      <c r="E22" s="31">
        <f>E200</f>
        <v>0</v>
      </c>
      <c r="F22" s="31">
        <f>F200</f>
        <v>0</v>
      </c>
      <c r="G22" s="187">
        <f>G200</f>
        <v>0</v>
      </c>
      <c r="I22" s="216">
        <v>0</v>
      </c>
    </row>
    <row r="23" spans="1:14" ht="18" x14ac:dyDescent="0.4">
      <c r="A23" s="1" t="s">
        <v>103</v>
      </c>
      <c r="C23" s="75">
        <f>C195</f>
        <v>15994</v>
      </c>
      <c r="D23" s="4"/>
      <c r="E23" s="75">
        <f>E195</f>
        <v>110255</v>
      </c>
      <c r="F23" s="45">
        <f>F195</f>
        <v>0</v>
      </c>
      <c r="G23" s="362">
        <f>G195</f>
        <v>115000</v>
      </c>
      <c r="I23" s="297">
        <f t="shared" si="1"/>
        <v>4.3036596979728836E-2</v>
      </c>
      <c r="J23" s="49"/>
    </row>
    <row r="24" spans="1:14" ht="18" x14ac:dyDescent="0.4">
      <c r="A24" s="1" t="s">
        <v>14</v>
      </c>
      <c r="C24" s="75">
        <f>SUM(C18:C23)</f>
        <v>1200568</v>
      </c>
      <c r="D24" s="4"/>
      <c r="E24" s="45">
        <f>SUM(E18:E23)</f>
        <v>1224226</v>
      </c>
      <c r="F24" s="4"/>
      <c r="G24" s="45">
        <f>SUM(G18:G23)</f>
        <v>1235978</v>
      </c>
      <c r="I24" s="297">
        <f t="shared" si="1"/>
        <v>9.5995347264312691E-3</v>
      </c>
      <c r="K24" s="49"/>
    </row>
    <row r="25" spans="1:14" x14ac:dyDescent="0.25">
      <c r="A25" s="1" t="s">
        <v>104</v>
      </c>
      <c r="C25" s="72"/>
      <c r="D25" s="4"/>
      <c r="E25" s="31"/>
      <c r="F25" s="4"/>
      <c r="G25" s="31"/>
    </row>
    <row r="26" spans="1:14" ht="18" x14ac:dyDescent="0.4">
      <c r="A26" s="1" t="s">
        <v>453</v>
      </c>
      <c r="C26" s="588">
        <f>C15-C24</f>
        <v>-139629</v>
      </c>
      <c r="D26" s="171"/>
      <c r="E26" s="574">
        <f>E15-E24</f>
        <v>-251242</v>
      </c>
      <c r="F26" s="171"/>
      <c r="G26" s="574">
        <f>G15-G24</f>
        <v>-229915</v>
      </c>
      <c r="I26" s="216">
        <f>+G26/E26-1</f>
        <v>-8.4886284936435796E-2</v>
      </c>
      <c r="J26" s="49"/>
    </row>
    <row r="27" spans="1:14" x14ac:dyDescent="0.25">
      <c r="C27" s="72"/>
      <c r="D27" s="4"/>
      <c r="E27" s="31"/>
      <c r="F27" s="4"/>
      <c r="G27" s="31"/>
    </row>
    <row r="28" spans="1:14" x14ac:dyDescent="0.25">
      <c r="A28" s="2" t="s">
        <v>106</v>
      </c>
      <c r="C28" s="72"/>
      <c r="D28" s="4"/>
      <c r="E28" s="31"/>
      <c r="F28" s="4"/>
      <c r="G28" s="31"/>
      <c r="J28" s="49"/>
    </row>
    <row r="29" spans="1:14" s="546" customFormat="1" x14ac:dyDescent="0.25">
      <c r="A29" s="44" t="s">
        <v>585</v>
      </c>
      <c r="C29" s="587">
        <v>0</v>
      </c>
      <c r="D29" s="4"/>
      <c r="E29" s="573">
        <v>0</v>
      </c>
      <c r="F29" s="4"/>
      <c r="G29" s="573">
        <v>100000</v>
      </c>
      <c r="I29" s="417">
        <v>1</v>
      </c>
      <c r="J29" s="413"/>
      <c r="N29" s="546" t="s">
        <v>19</v>
      </c>
    </row>
    <row r="30" spans="1:14" ht="18" x14ac:dyDescent="0.4">
      <c r="A30" s="44" t="s">
        <v>447</v>
      </c>
      <c r="C30" s="116">
        <v>133737</v>
      </c>
      <c r="D30" s="145"/>
      <c r="E30" s="80">
        <f>'Estimating Schedule - GF'!I32</f>
        <v>150000</v>
      </c>
      <c r="F30" s="145"/>
      <c r="G30" s="191">
        <v>175000</v>
      </c>
      <c r="I30" s="297">
        <f>+G30/E30-1</f>
        <v>0.16666666666666674</v>
      </c>
      <c r="J30" s="49"/>
      <c r="K30" s="49"/>
    </row>
    <row r="31" spans="1:14" s="546" customFormat="1" ht="18" x14ac:dyDescent="0.4">
      <c r="A31" s="416" t="s">
        <v>586</v>
      </c>
      <c r="C31" s="522">
        <f>SUM(C29:C30)</f>
        <v>133737</v>
      </c>
      <c r="D31" s="145"/>
      <c r="E31" s="522">
        <f>SUM(E29:E30)</f>
        <v>150000</v>
      </c>
      <c r="F31" s="145"/>
      <c r="G31" s="522">
        <f>SUM(G29:G30)</f>
        <v>275000</v>
      </c>
      <c r="I31" s="297">
        <f>+G31/E31-1</f>
        <v>0.83333333333333326</v>
      </c>
      <c r="J31" s="413"/>
      <c r="K31" s="413"/>
    </row>
    <row r="32" spans="1:14" x14ac:dyDescent="0.25">
      <c r="C32" s="72"/>
      <c r="D32" s="4"/>
      <c r="E32" s="31"/>
      <c r="F32" s="4"/>
      <c r="G32" s="31"/>
    </row>
    <row r="33" spans="1:11" x14ac:dyDescent="0.25">
      <c r="A33" s="1" t="s">
        <v>348</v>
      </c>
      <c r="C33" s="72"/>
      <c r="D33" s="4"/>
      <c r="E33" s="31"/>
      <c r="F33" s="4"/>
      <c r="G33" s="31"/>
    </row>
    <row r="34" spans="1:11" x14ac:dyDescent="0.25">
      <c r="A34" s="1" t="s">
        <v>107</v>
      </c>
      <c r="C34" s="72">
        <f>C26+C31</f>
        <v>-5892</v>
      </c>
      <c r="D34" s="4"/>
      <c r="E34" s="72">
        <f>E26+E31</f>
        <v>-101242</v>
      </c>
      <c r="F34" s="4"/>
      <c r="G34" s="72">
        <f>G26+G31</f>
        <v>45085</v>
      </c>
      <c r="I34" s="216">
        <f>+G34/E34-1</f>
        <v>-1.445319136326821</v>
      </c>
      <c r="K34" s="49"/>
    </row>
    <row r="35" spans="1:11" x14ac:dyDescent="0.25">
      <c r="C35" s="72"/>
      <c r="D35" s="4"/>
      <c r="E35" s="31"/>
      <c r="F35" s="4"/>
      <c r="G35" s="31"/>
    </row>
    <row r="36" spans="1:11" ht="18" x14ac:dyDescent="0.4">
      <c r="A36" s="2" t="s">
        <v>155</v>
      </c>
      <c r="C36" s="75">
        <v>263283</v>
      </c>
      <c r="D36" s="4"/>
      <c r="E36" s="45">
        <f>C38</f>
        <v>257391</v>
      </c>
      <c r="F36" s="4"/>
      <c r="G36" s="45">
        <f>E38</f>
        <v>156149</v>
      </c>
      <c r="I36" s="297">
        <f>+G36/E36-1</f>
        <v>-0.39333931644851605</v>
      </c>
    </row>
    <row r="38" spans="1:11" ht="18" x14ac:dyDescent="0.4">
      <c r="A38" s="2" t="s">
        <v>108</v>
      </c>
      <c r="C38" s="141">
        <f>SUM(C34:C36)</f>
        <v>257391</v>
      </c>
      <c r="E38" s="142">
        <f>SUM(E34:E36)</f>
        <v>156149</v>
      </c>
      <c r="G38" s="142">
        <f>SUM(G34:G36)</f>
        <v>201234</v>
      </c>
      <c r="I38" s="316">
        <f>+G38/E38-1</f>
        <v>0.28873063548277611</v>
      </c>
      <c r="J38" s="178"/>
      <c r="K38" s="178"/>
    </row>
    <row r="39" spans="1:11" x14ac:dyDescent="0.25">
      <c r="J39" s="178"/>
    </row>
    <row r="40" spans="1:11" x14ac:dyDescent="0.25">
      <c r="G40" s="20"/>
      <c r="I40" s="20" t="s">
        <v>239</v>
      </c>
    </row>
    <row r="41" spans="1:11" x14ac:dyDescent="0.25">
      <c r="A41" s="623" t="s">
        <v>47</v>
      </c>
      <c r="B41" s="623"/>
      <c r="C41" s="623"/>
      <c r="D41" s="623"/>
      <c r="E41" s="623"/>
      <c r="F41" s="623"/>
      <c r="G41" s="623"/>
      <c r="H41" s="623"/>
      <c r="I41" s="623"/>
    </row>
    <row r="42" spans="1:11" x14ac:dyDescent="0.25">
      <c r="A42" s="623" t="s">
        <v>227</v>
      </c>
      <c r="B42" s="623"/>
      <c r="C42" s="623"/>
      <c r="D42" s="623"/>
      <c r="E42" s="623"/>
      <c r="F42" s="623"/>
      <c r="G42" s="623"/>
      <c r="H42" s="623"/>
      <c r="I42" s="623"/>
    </row>
    <row r="43" spans="1:11" x14ac:dyDescent="0.25">
      <c r="A43" s="623" t="s">
        <v>228</v>
      </c>
      <c r="B43" s="623"/>
      <c r="C43" s="623"/>
      <c r="D43" s="623"/>
      <c r="E43" s="623"/>
      <c r="F43" s="623"/>
      <c r="G43" s="623"/>
      <c r="H43" s="623"/>
      <c r="I43" s="623"/>
    </row>
    <row r="44" spans="1:11" x14ac:dyDescent="0.25">
      <c r="A44" s="623" t="str">
        <f>+A4</f>
        <v>Year Ending September 30, 2019</v>
      </c>
      <c r="B44" s="623"/>
      <c r="C44" s="623"/>
      <c r="D44" s="623"/>
      <c r="E44" s="623"/>
      <c r="F44" s="623"/>
      <c r="G44" s="623"/>
      <c r="H44" s="623"/>
      <c r="I44" s="623"/>
    </row>
    <row r="47" spans="1:11" ht="15" customHeight="1" x14ac:dyDescent="0.25">
      <c r="C47" s="626" t="s">
        <v>109</v>
      </c>
      <c r="D47" s="626"/>
      <c r="E47" s="626"/>
      <c r="F47" s="626"/>
      <c r="G47" s="626"/>
    </row>
    <row r="48" spans="1:11" ht="15" customHeight="1" x14ac:dyDescent="0.25">
      <c r="C48" s="86">
        <f>C7</f>
        <v>2017</v>
      </c>
      <c r="D48" s="77"/>
      <c r="E48" s="26">
        <f>E7</f>
        <v>2018</v>
      </c>
      <c r="F48" s="77"/>
      <c r="G48" s="26">
        <f>G7</f>
        <v>2019</v>
      </c>
    </row>
    <row r="49" spans="1:9" ht="17.25" customHeight="1" x14ac:dyDescent="0.25">
      <c r="C49" s="127" t="s">
        <v>83</v>
      </c>
      <c r="E49" s="28" t="s">
        <v>84</v>
      </c>
      <c r="G49" s="28" t="s">
        <v>85</v>
      </c>
    </row>
    <row r="50" spans="1:9" ht="15" customHeight="1" x14ac:dyDescent="0.25">
      <c r="A50" s="2" t="s">
        <v>0</v>
      </c>
    </row>
    <row r="51" spans="1:9" ht="15" customHeight="1" x14ac:dyDescent="0.25">
      <c r="A51" s="2" t="s">
        <v>381</v>
      </c>
      <c r="I51" s="216"/>
    </row>
    <row r="52" spans="1:9" ht="15" customHeight="1" x14ac:dyDescent="0.25">
      <c r="A52" s="1" t="s">
        <v>110</v>
      </c>
      <c r="C52" s="91">
        <v>62642</v>
      </c>
      <c r="E52" s="30">
        <f>'Estimating Schedule - GF'!I47</f>
        <v>80755</v>
      </c>
      <c r="F52" s="3"/>
      <c r="G52" s="30">
        <v>80800</v>
      </c>
      <c r="I52" s="216">
        <f>+G52/E52-1</f>
        <v>5.5724103770660172E-4</v>
      </c>
    </row>
    <row r="53" spans="1:9" ht="15" customHeight="1" x14ac:dyDescent="0.25">
      <c r="A53" s="1" t="s">
        <v>254</v>
      </c>
      <c r="C53" s="72">
        <v>6571</v>
      </c>
      <c r="E53" s="72">
        <f>'Estimating Schedule - GF'!I48</f>
        <v>2114</v>
      </c>
      <c r="F53" s="192"/>
      <c r="G53" s="72">
        <v>2100</v>
      </c>
      <c r="I53" s="216">
        <f>+G53/E53-1</f>
        <v>-6.6225165562914245E-3</v>
      </c>
    </row>
    <row r="54" spans="1:9" ht="15" customHeight="1" x14ac:dyDescent="0.25">
      <c r="A54" s="1" t="s">
        <v>111</v>
      </c>
      <c r="C54" s="72"/>
      <c r="G54" s="31"/>
      <c r="I54" s="216"/>
    </row>
    <row r="55" spans="1:9" ht="17.25" customHeight="1" x14ac:dyDescent="0.4">
      <c r="A55" s="1" t="s">
        <v>112</v>
      </c>
      <c r="C55" s="75">
        <v>83806</v>
      </c>
      <c r="E55" s="80">
        <f>'Estimating Schedule - GF'!I50</f>
        <v>86390</v>
      </c>
      <c r="G55" s="45">
        <v>85500</v>
      </c>
      <c r="I55" s="297">
        <f>+G55/E55-1</f>
        <v>-1.0302118300729246E-2</v>
      </c>
    </row>
    <row r="56" spans="1:9" ht="17.25" customHeight="1" x14ac:dyDescent="0.4">
      <c r="A56" s="1" t="s">
        <v>113</v>
      </c>
      <c r="C56" s="75">
        <f>SUM(C52:C55)</f>
        <v>153019</v>
      </c>
      <c r="D56" s="4"/>
      <c r="E56" s="45">
        <f>SUM(E52:E55)</f>
        <v>169259</v>
      </c>
      <c r="F56" s="4"/>
      <c r="G56" s="45">
        <f>SUM(G52:G55)</f>
        <v>168400</v>
      </c>
      <c r="I56" s="297">
        <f>+G56/E56-1</f>
        <v>-5.0750624782138765E-3</v>
      </c>
    </row>
    <row r="57" spans="1:9" x14ac:dyDescent="0.25">
      <c r="C57" s="72"/>
      <c r="D57" s="4"/>
      <c r="E57" s="31"/>
      <c r="F57" s="4"/>
      <c r="G57" s="31"/>
    </row>
    <row r="58" spans="1:9" x14ac:dyDescent="0.25">
      <c r="A58" s="2" t="s">
        <v>114</v>
      </c>
      <c r="C58" s="72"/>
      <c r="D58" s="4"/>
      <c r="E58" s="31"/>
      <c r="F58" s="4"/>
      <c r="G58" s="31"/>
    </row>
    <row r="59" spans="1:9" x14ac:dyDescent="0.25">
      <c r="A59" s="1" t="s">
        <v>115</v>
      </c>
      <c r="C59" s="72">
        <v>96820</v>
      </c>
      <c r="D59" s="4"/>
      <c r="E59" s="31">
        <f>'Estimating Schedule - GF'!I54</f>
        <v>100295</v>
      </c>
      <c r="F59" s="4"/>
      <c r="G59" s="31">
        <v>100300</v>
      </c>
      <c r="I59" s="216">
        <f>+G59/E59-1</f>
        <v>4.9852933845073721E-5</v>
      </c>
    </row>
    <row r="60" spans="1:9" ht="18" x14ac:dyDescent="0.4">
      <c r="A60" s="1" t="s">
        <v>116</v>
      </c>
      <c r="C60" s="116">
        <v>0</v>
      </c>
      <c r="D60" s="171"/>
      <c r="E60" s="195">
        <f>'Estimating Schedule - GF'!I55</f>
        <v>0</v>
      </c>
      <c r="F60" s="171"/>
      <c r="G60" s="195">
        <v>0</v>
      </c>
      <c r="I60" s="297">
        <v>0</v>
      </c>
    </row>
    <row r="61" spans="1:9" ht="18" x14ac:dyDescent="0.4">
      <c r="A61" s="1" t="s">
        <v>117</v>
      </c>
      <c r="C61" s="75">
        <f>SUM(C59:C60)</f>
        <v>96820</v>
      </c>
      <c r="D61" s="4"/>
      <c r="E61" s="45">
        <f>SUM(E59:E60)</f>
        <v>100295</v>
      </c>
      <c r="F61" s="4"/>
      <c r="G61" s="45">
        <f>SUM(G59:G60)</f>
        <v>100300</v>
      </c>
      <c r="I61" s="297">
        <f>+G61/E61-1</f>
        <v>4.9852933845073721E-5</v>
      </c>
    </row>
    <row r="62" spans="1:9" x14ac:dyDescent="0.25">
      <c r="C62" s="72"/>
      <c r="D62" s="4"/>
      <c r="E62" s="31"/>
      <c r="F62" s="4"/>
      <c r="G62" s="173"/>
    </row>
    <row r="63" spans="1:9" x14ac:dyDescent="0.25">
      <c r="A63" s="2" t="s">
        <v>118</v>
      </c>
      <c r="C63" s="72"/>
      <c r="D63" s="4"/>
      <c r="E63" s="31"/>
      <c r="F63" s="4"/>
      <c r="G63" s="31"/>
    </row>
    <row r="64" spans="1:9" x14ac:dyDescent="0.25">
      <c r="A64" s="1" t="s">
        <v>119</v>
      </c>
      <c r="C64" s="72"/>
      <c r="D64" s="4"/>
      <c r="E64" s="31"/>
      <c r="F64" s="4"/>
      <c r="G64" s="31"/>
    </row>
    <row r="65" spans="1:11" x14ac:dyDescent="0.25">
      <c r="A65" s="1" t="s">
        <v>120</v>
      </c>
      <c r="C65" s="72">
        <v>6038</v>
      </c>
      <c r="D65" s="4"/>
      <c r="E65" s="31">
        <f>'Estimating Schedule - GF'!I60</f>
        <v>6805</v>
      </c>
      <c r="F65" s="4"/>
      <c r="G65" s="31">
        <v>6500</v>
      </c>
      <c r="I65" s="216">
        <f t="shared" ref="I65:I71" si="2">+G65/E65-1</f>
        <v>-4.4819985304922816E-2</v>
      </c>
      <c r="K65" s="49"/>
    </row>
    <row r="66" spans="1:11" x14ac:dyDescent="0.25">
      <c r="A66" s="1" t="s">
        <v>446</v>
      </c>
      <c r="C66" s="72">
        <v>62717</v>
      </c>
      <c r="D66" s="4"/>
      <c r="E66" s="31">
        <f>'Estimating Schedule - GF'!I61</f>
        <v>50000</v>
      </c>
      <c r="F66" s="192"/>
      <c r="G66" s="31">
        <v>50000</v>
      </c>
      <c r="I66" s="216">
        <f t="shared" si="2"/>
        <v>0</v>
      </c>
    </row>
    <row r="67" spans="1:11" x14ac:dyDescent="0.25">
      <c r="A67" s="44" t="s">
        <v>246</v>
      </c>
      <c r="C67" s="72">
        <v>37841</v>
      </c>
      <c r="D67" s="4"/>
      <c r="E67" s="31">
        <f>'Estimating Schedule - GF'!I62</f>
        <v>33605</v>
      </c>
      <c r="F67" s="4"/>
      <c r="G67" s="31">
        <v>34500</v>
      </c>
      <c r="I67" s="216">
        <f t="shared" si="2"/>
        <v>2.6632941526558485E-2</v>
      </c>
    </row>
    <row r="68" spans="1:11" x14ac:dyDescent="0.25">
      <c r="A68" s="1" t="s">
        <v>318</v>
      </c>
      <c r="C68" s="72">
        <v>11570</v>
      </c>
      <c r="D68" s="4"/>
      <c r="E68" s="31">
        <f>'Estimating Schedule - GF'!I63</f>
        <v>13413</v>
      </c>
      <c r="F68" s="4"/>
      <c r="G68" s="31">
        <v>12500</v>
      </c>
      <c r="I68" s="216">
        <f t="shared" si="2"/>
        <v>-6.8068291955565519E-2</v>
      </c>
    </row>
    <row r="69" spans="1:11" x14ac:dyDescent="0.25">
      <c r="A69" s="1" t="s">
        <v>319</v>
      </c>
      <c r="C69" s="72">
        <v>4387</v>
      </c>
      <c r="D69" s="4"/>
      <c r="E69" s="31">
        <f>'Estimating Schedule - GF'!I64</f>
        <v>4200</v>
      </c>
      <c r="F69" s="4"/>
      <c r="G69" s="31">
        <v>4200</v>
      </c>
      <c r="I69" s="216">
        <f t="shared" si="2"/>
        <v>0</v>
      </c>
    </row>
    <row r="70" spans="1:11" ht="18" x14ac:dyDescent="0.4">
      <c r="A70" s="1" t="s">
        <v>346</v>
      </c>
      <c r="C70" s="75">
        <v>2563</v>
      </c>
      <c r="D70" s="4"/>
      <c r="E70" s="80">
        <f>'Estimating Schedule - GF'!I65</f>
        <v>2563</v>
      </c>
      <c r="F70" s="4"/>
      <c r="G70" s="45">
        <v>2563</v>
      </c>
      <c r="I70" s="297">
        <f t="shared" si="2"/>
        <v>0</v>
      </c>
    </row>
    <row r="71" spans="1:11" ht="18" x14ac:dyDescent="0.4">
      <c r="A71" s="1" t="s">
        <v>122</v>
      </c>
      <c r="C71" s="75">
        <f>SUM(C65:C70)</f>
        <v>125116</v>
      </c>
      <c r="D71" s="4"/>
      <c r="E71" s="45">
        <f>SUM(E65:E70)</f>
        <v>110586</v>
      </c>
      <c r="F71" s="4"/>
      <c r="G71" s="45">
        <f>SUM(G65:G70)</f>
        <v>110263</v>
      </c>
      <c r="I71" s="297">
        <f t="shared" si="2"/>
        <v>-2.9208037183729996E-3</v>
      </c>
    </row>
    <row r="72" spans="1:11" x14ac:dyDescent="0.25">
      <c r="C72" s="72"/>
      <c r="D72" s="4"/>
      <c r="E72" s="31"/>
      <c r="F72" s="4"/>
      <c r="G72" s="31"/>
    </row>
    <row r="73" spans="1:11" ht="18" x14ac:dyDescent="0.4">
      <c r="A73" s="2" t="s">
        <v>4</v>
      </c>
      <c r="C73" s="75">
        <v>464664</v>
      </c>
      <c r="D73" s="4"/>
      <c r="E73" s="45">
        <f>'Estimating Schedule - GF'!I69</f>
        <v>430774</v>
      </c>
      <c r="F73" s="4"/>
      <c r="G73" s="45">
        <v>450000</v>
      </c>
      <c r="I73" s="297">
        <f>+G73/E73-1</f>
        <v>4.4631291582128974E-2</v>
      </c>
    </row>
    <row r="74" spans="1:11" x14ac:dyDescent="0.25">
      <c r="C74" s="72"/>
      <c r="D74" s="4"/>
      <c r="E74" s="31"/>
      <c r="F74" s="4"/>
      <c r="G74" s="31"/>
    </row>
    <row r="75" spans="1:11" x14ac:dyDescent="0.25">
      <c r="A75" s="2" t="s">
        <v>123</v>
      </c>
      <c r="C75" s="72"/>
      <c r="D75" s="4"/>
      <c r="E75" s="31"/>
      <c r="F75" s="4"/>
      <c r="G75" s="31"/>
    </row>
    <row r="76" spans="1:11" x14ac:dyDescent="0.25">
      <c r="A76" s="1" t="s">
        <v>124</v>
      </c>
      <c r="C76" s="72">
        <v>115800</v>
      </c>
      <c r="D76" s="4"/>
      <c r="E76" s="31">
        <f>'Estimating Schedule - GF'!I72</f>
        <v>115800</v>
      </c>
      <c r="F76" s="4"/>
      <c r="G76" s="31">
        <v>115800</v>
      </c>
      <c r="I76" s="216">
        <f t="shared" ref="I76:I87" si="3">+G76/E76-1</f>
        <v>0</v>
      </c>
    </row>
    <row r="77" spans="1:11" x14ac:dyDescent="0.25">
      <c r="A77" s="1" t="s">
        <v>210</v>
      </c>
      <c r="C77" s="361">
        <v>0</v>
      </c>
      <c r="D77" s="4"/>
      <c r="E77" s="31">
        <f>'Estimating Schedule - GF'!I73</f>
        <v>6921</v>
      </c>
      <c r="F77" s="4"/>
      <c r="G77" s="72">
        <v>5000</v>
      </c>
      <c r="I77" s="216">
        <f t="shared" si="3"/>
        <v>-0.27756104609160526</v>
      </c>
    </row>
    <row r="78" spans="1:11" x14ac:dyDescent="0.25">
      <c r="A78" s="1" t="s">
        <v>125</v>
      </c>
      <c r="C78" s="72">
        <v>9515</v>
      </c>
      <c r="D78" s="4"/>
      <c r="E78" s="31">
        <f>'Estimating Schedule - GF'!I74</f>
        <v>9575</v>
      </c>
      <c r="F78" s="4"/>
      <c r="G78" s="31">
        <v>9500</v>
      </c>
      <c r="H78" s="4"/>
      <c r="I78" s="216">
        <f t="shared" si="3"/>
        <v>-7.8328981723237989E-3</v>
      </c>
    </row>
    <row r="79" spans="1:11" x14ac:dyDescent="0.25">
      <c r="A79" s="44" t="s">
        <v>472</v>
      </c>
      <c r="C79" s="72">
        <f>4200+19230+15240+8891+40+13568</f>
        <v>61169</v>
      </c>
      <c r="D79" s="4"/>
      <c r="E79" s="31">
        <f>'Estimating Schedule - GF'!I75</f>
        <v>20093</v>
      </c>
      <c r="F79" s="4"/>
      <c r="G79" s="31">
        <v>35000</v>
      </c>
      <c r="H79" s="4"/>
      <c r="I79" s="216">
        <f t="shared" si="3"/>
        <v>0.74190016423630123</v>
      </c>
    </row>
    <row r="80" spans="1:11" x14ac:dyDescent="0.25">
      <c r="A80" s="44" t="s">
        <v>402</v>
      </c>
      <c r="C80" s="254">
        <v>2801</v>
      </c>
      <c r="D80" s="4"/>
      <c r="E80" s="31">
        <f>'Estimating Schedule - GF'!I76</f>
        <v>300</v>
      </c>
      <c r="F80" s="4"/>
      <c r="G80" s="31">
        <v>2000</v>
      </c>
      <c r="H80" s="4"/>
      <c r="I80" s="216">
        <f t="shared" si="3"/>
        <v>5.666666666666667</v>
      </c>
    </row>
    <row r="81" spans="1:11" x14ac:dyDescent="0.25">
      <c r="A81" s="1" t="s">
        <v>403</v>
      </c>
      <c r="C81" s="72">
        <v>0</v>
      </c>
      <c r="D81" s="4"/>
      <c r="E81" s="72">
        <f>'Estimating Schedule - GF'!I77</f>
        <v>0</v>
      </c>
      <c r="F81" s="4"/>
      <c r="G81" s="31">
        <v>0</v>
      </c>
      <c r="H81" s="4"/>
      <c r="I81" s="216" t="e">
        <f t="shared" si="3"/>
        <v>#DIV/0!</v>
      </c>
    </row>
    <row r="82" spans="1:11" x14ac:dyDescent="0.25">
      <c r="A82" s="1" t="s">
        <v>406</v>
      </c>
      <c r="C82" s="72">
        <v>3644</v>
      </c>
      <c r="D82" s="4"/>
      <c r="E82" s="31">
        <f>'Estimating Schedule - GF'!I78</f>
        <v>3301</v>
      </c>
      <c r="F82" s="4"/>
      <c r="G82" s="31">
        <v>3300</v>
      </c>
      <c r="H82" s="4"/>
      <c r="I82" s="216">
        <f t="shared" si="3"/>
        <v>-3.0293850348384055E-4</v>
      </c>
    </row>
    <row r="83" spans="1:11" x14ac:dyDescent="0.25">
      <c r="A83" s="1" t="s">
        <v>470</v>
      </c>
      <c r="C83" s="174">
        <v>0</v>
      </c>
      <c r="D83" s="4"/>
      <c r="E83" s="31">
        <f>'Estimating Schedule - GF'!I79</f>
        <v>5075</v>
      </c>
      <c r="F83" s="4"/>
      <c r="G83" s="31">
        <v>5000</v>
      </c>
      <c r="H83" s="4"/>
      <c r="I83" s="216">
        <f t="shared" si="3"/>
        <v>-1.4778325123152691E-2</v>
      </c>
    </row>
    <row r="84" spans="1:11" x14ac:dyDescent="0.25">
      <c r="A84" s="1" t="s">
        <v>480</v>
      </c>
      <c r="C84" s="254">
        <v>19992</v>
      </c>
      <c r="D84" s="4"/>
      <c r="E84" s="31">
        <f>'Estimating Schedule - GF'!I80</f>
        <v>0</v>
      </c>
      <c r="F84" s="4"/>
      <c r="G84" s="174">
        <v>0</v>
      </c>
      <c r="H84" s="4"/>
      <c r="I84" s="216" t="e">
        <f t="shared" si="3"/>
        <v>#DIV/0!</v>
      </c>
    </row>
    <row r="85" spans="1:11" ht="18" x14ac:dyDescent="0.4">
      <c r="A85" s="1" t="s">
        <v>404</v>
      </c>
      <c r="C85" s="75">
        <f>7835+564</f>
        <v>8399</v>
      </c>
      <c r="D85" s="4"/>
      <c r="E85" s="75">
        <f>'Estimating Schedule - GF'!I81</f>
        <v>1005</v>
      </c>
      <c r="F85" s="75"/>
      <c r="G85" s="75">
        <v>1500</v>
      </c>
      <c r="I85" s="297">
        <f t="shared" si="3"/>
        <v>0.49253731343283591</v>
      </c>
    </row>
    <row r="86" spans="1:11" ht="18" x14ac:dyDescent="0.4">
      <c r="A86" s="1" t="s">
        <v>126</v>
      </c>
      <c r="C86" s="75">
        <f>SUM(C76:C85)</f>
        <v>221320</v>
      </c>
      <c r="D86" s="4"/>
      <c r="E86" s="45">
        <f>SUM(E76:E85)</f>
        <v>162070</v>
      </c>
      <c r="F86" s="4"/>
      <c r="G86" s="45">
        <f>SUM(G76:G85)</f>
        <v>177100</v>
      </c>
      <c r="I86" s="297">
        <f t="shared" si="3"/>
        <v>9.2737705929536673E-2</v>
      </c>
    </row>
    <row r="87" spans="1:11" ht="18" x14ac:dyDescent="0.4">
      <c r="A87" s="1" t="s">
        <v>284</v>
      </c>
      <c r="C87" s="141">
        <f>C86+C73+C71+C61+C56</f>
        <v>1060939</v>
      </c>
      <c r="D87" s="3"/>
      <c r="E87" s="142">
        <f>E86+E73+E71+E61+E56</f>
        <v>972984</v>
      </c>
      <c r="F87" s="3"/>
      <c r="G87" s="142">
        <f>G86+G73+G71+G61+G56</f>
        <v>1006063</v>
      </c>
      <c r="I87" s="316">
        <f t="shared" si="3"/>
        <v>3.3997475806385236E-2</v>
      </c>
      <c r="J87" s="178"/>
    </row>
    <row r="88" spans="1:11" ht="15" customHeight="1" x14ac:dyDescent="0.4">
      <c r="C88" s="141"/>
      <c r="D88" s="3"/>
      <c r="E88" s="142"/>
      <c r="F88" s="3"/>
      <c r="G88" s="47"/>
      <c r="I88" s="47" t="s">
        <v>240</v>
      </c>
    </row>
    <row r="89" spans="1:11" ht="15" customHeight="1" x14ac:dyDescent="0.25">
      <c r="A89" s="623" t="s">
        <v>47</v>
      </c>
      <c r="B89" s="623"/>
      <c r="C89" s="623"/>
      <c r="D89" s="623"/>
      <c r="E89" s="623"/>
      <c r="F89" s="623"/>
      <c r="G89" s="623"/>
      <c r="H89" s="623"/>
      <c r="I89" s="623"/>
    </row>
    <row r="90" spans="1:11" ht="15" customHeight="1" x14ac:dyDescent="0.25">
      <c r="A90" s="623" t="s">
        <v>227</v>
      </c>
      <c r="B90" s="623"/>
      <c r="C90" s="623"/>
      <c r="D90" s="623"/>
      <c r="E90" s="623"/>
      <c r="F90" s="623"/>
      <c r="G90" s="623"/>
      <c r="H90" s="623"/>
      <c r="I90" s="623"/>
    </row>
    <row r="91" spans="1:11" ht="15" customHeight="1" x14ac:dyDescent="0.25">
      <c r="A91" s="623" t="s">
        <v>229</v>
      </c>
      <c r="B91" s="623"/>
      <c r="C91" s="623"/>
      <c r="D91" s="623"/>
      <c r="E91" s="623"/>
      <c r="F91" s="623"/>
      <c r="G91" s="623"/>
      <c r="H91" s="623"/>
      <c r="I91" s="623"/>
    </row>
    <row r="92" spans="1:11" ht="15" customHeight="1" x14ac:dyDescent="0.25">
      <c r="A92" s="623" t="str">
        <f>A4</f>
        <v>Year Ending September 30, 2019</v>
      </c>
      <c r="B92" s="623"/>
      <c r="C92" s="623"/>
      <c r="D92" s="623"/>
      <c r="E92" s="623"/>
      <c r="F92" s="623"/>
      <c r="G92" s="623"/>
      <c r="H92" s="623"/>
      <c r="I92" s="623"/>
    </row>
    <row r="93" spans="1:11" ht="15" customHeight="1" x14ac:dyDescent="0.25">
      <c r="C93" s="1"/>
      <c r="E93" s="1"/>
      <c r="G93" s="1"/>
      <c r="K93" s="1" t="s">
        <v>484</v>
      </c>
    </row>
    <row r="94" spans="1:11" ht="17.25" customHeight="1" x14ac:dyDescent="0.25">
      <c r="C94" s="626" t="s">
        <v>109</v>
      </c>
      <c r="D94" s="626"/>
      <c r="E94" s="626"/>
      <c r="F94" s="626"/>
      <c r="G94" s="626"/>
    </row>
    <row r="95" spans="1:11" ht="15" customHeight="1" x14ac:dyDescent="0.25">
      <c r="C95" s="86">
        <f>C7</f>
        <v>2017</v>
      </c>
      <c r="D95" s="77"/>
      <c r="E95" s="26">
        <f>E7</f>
        <v>2018</v>
      </c>
      <c r="F95" s="77"/>
      <c r="G95" s="26">
        <f>G7</f>
        <v>2019</v>
      </c>
    </row>
    <row r="96" spans="1:11" ht="17.25" customHeight="1" x14ac:dyDescent="0.25">
      <c r="C96" s="127" t="s">
        <v>83</v>
      </c>
      <c r="E96" s="48" t="s">
        <v>84</v>
      </c>
      <c r="G96" s="48" t="s">
        <v>85</v>
      </c>
    </row>
    <row r="97" spans="1:14" ht="15" customHeight="1" x14ac:dyDescent="0.25">
      <c r="A97" s="2" t="s">
        <v>7</v>
      </c>
      <c r="E97" s="31"/>
      <c r="G97" s="31"/>
    </row>
    <row r="98" spans="1:14" ht="15" customHeight="1" x14ac:dyDescent="0.25">
      <c r="A98" s="2" t="s">
        <v>128</v>
      </c>
      <c r="E98" s="31"/>
      <c r="G98" s="31"/>
    </row>
    <row r="99" spans="1:14" ht="15" customHeight="1" x14ac:dyDescent="0.25">
      <c r="A99" s="44" t="s">
        <v>505</v>
      </c>
      <c r="C99" s="30">
        <v>44000</v>
      </c>
      <c r="D99" s="3"/>
      <c r="E99" s="30">
        <f>'Estimating Schedule - GF'!I97</f>
        <v>44000</v>
      </c>
      <c r="F99" s="3"/>
      <c r="G99" s="565">
        <v>48000</v>
      </c>
      <c r="I99" s="216">
        <f t="shared" ref="I99:I117" si="4">+G99/E99-1</f>
        <v>9.0909090909090828E-2</v>
      </c>
      <c r="K99" s="178"/>
    </row>
    <row r="100" spans="1:14" ht="15" customHeight="1" x14ac:dyDescent="0.25">
      <c r="A100" s="44" t="s">
        <v>506</v>
      </c>
      <c r="C100" s="72">
        <v>29205</v>
      </c>
      <c r="D100" s="3"/>
      <c r="E100" s="31">
        <f>'Estimating Schedule - GF'!I98</f>
        <v>31934</v>
      </c>
      <c r="F100" s="3"/>
      <c r="G100" s="566">
        <v>31950</v>
      </c>
      <c r="I100" s="216">
        <f t="shared" si="4"/>
        <v>5.0103338134910302E-4</v>
      </c>
    </row>
    <row r="101" spans="1:14" s="546" customFormat="1" ht="15" customHeight="1" x14ac:dyDescent="0.25">
      <c r="A101" s="44" t="s">
        <v>507</v>
      </c>
      <c r="C101" s="587">
        <v>0</v>
      </c>
      <c r="D101" s="3"/>
      <c r="E101" s="573">
        <v>0</v>
      </c>
      <c r="F101" s="3"/>
      <c r="G101" s="573">
        <v>1040</v>
      </c>
      <c r="I101" s="417">
        <v>1</v>
      </c>
    </row>
    <row r="102" spans="1:14" ht="15" customHeight="1" x14ac:dyDescent="0.25">
      <c r="A102" s="44" t="s">
        <v>508</v>
      </c>
      <c r="C102" s="72">
        <v>12000</v>
      </c>
      <c r="E102" s="31">
        <f>'Estimating Schedule - GF'!I100</f>
        <v>12000</v>
      </c>
      <c r="G102" s="566">
        <v>12000</v>
      </c>
      <c r="I102" s="216">
        <f t="shared" si="4"/>
        <v>0</v>
      </c>
      <c r="K102" s="178"/>
    </row>
    <row r="103" spans="1:14" ht="15" customHeight="1" x14ac:dyDescent="0.25">
      <c r="A103" s="44" t="s">
        <v>261</v>
      </c>
      <c r="C103" s="72">
        <v>5564</v>
      </c>
      <c r="E103" s="214">
        <f>'Estimating Schedule - GF'!I101</f>
        <v>5726</v>
      </c>
      <c r="G103" s="566">
        <v>5800</v>
      </c>
      <c r="I103" s="216">
        <f t="shared" si="4"/>
        <v>1.2923506811037377E-2</v>
      </c>
    </row>
    <row r="104" spans="1:14" ht="15" customHeight="1" x14ac:dyDescent="0.25">
      <c r="A104" s="44" t="s">
        <v>509</v>
      </c>
      <c r="C104" s="31">
        <v>13541</v>
      </c>
      <c r="E104" s="31">
        <f>'Estimating Schedule - GF'!I102</f>
        <v>11324</v>
      </c>
      <c r="G104" s="566">
        <v>12200</v>
      </c>
      <c r="I104" s="216">
        <f t="shared" si="4"/>
        <v>7.7357824090427352E-2</v>
      </c>
      <c r="K104" s="178"/>
    </row>
    <row r="105" spans="1:14" ht="15" customHeight="1" x14ac:dyDescent="0.25">
      <c r="A105" s="44" t="s">
        <v>510</v>
      </c>
      <c r="C105" s="72">
        <v>10877</v>
      </c>
      <c r="E105" s="31">
        <f>'Estimating Schedule - GF'!I103</f>
        <v>5910</v>
      </c>
      <c r="G105" s="566">
        <v>7500</v>
      </c>
      <c r="I105" s="216">
        <f t="shared" si="4"/>
        <v>0.26903553299492389</v>
      </c>
    </row>
    <row r="106" spans="1:14" ht="15" customHeight="1" x14ac:dyDescent="0.25">
      <c r="A106" s="44" t="s">
        <v>270</v>
      </c>
      <c r="C106" s="72">
        <v>2900</v>
      </c>
      <c r="E106" s="31">
        <f>'Estimating Schedule - GF'!I104</f>
        <v>2642</v>
      </c>
      <c r="G106" s="566">
        <v>2700</v>
      </c>
      <c r="I106" s="216">
        <f t="shared" si="4"/>
        <v>2.195306585919754E-2</v>
      </c>
    </row>
    <row r="107" spans="1:14" ht="15" customHeight="1" x14ac:dyDescent="0.25">
      <c r="A107" s="44" t="s">
        <v>247</v>
      </c>
      <c r="C107" s="72">
        <f>1828+14400</f>
        <v>16228</v>
      </c>
      <c r="E107" s="31">
        <f>'Estimating Schedule - GF'!I105</f>
        <v>4276</v>
      </c>
      <c r="G107" s="566">
        <v>5000</v>
      </c>
      <c r="I107" s="216">
        <f t="shared" si="4"/>
        <v>0.16931711880261924</v>
      </c>
    </row>
    <row r="108" spans="1:14" ht="15" customHeight="1" x14ac:dyDescent="0.25">
      <c r="A108" s="44" t="s">
        <v>269</v>
      </c>
      <c r="C108" s="72">
        <v>5836</v>
      </c>
      <c r="E108" s="31">
        <f>'Estimating Schedule - GF'!I106</f>
        <v>3698</v>
      </c>
      <c r="G108" s="566">
        <v>3700</v>
      </c>
      <c r="I108" s="216">
        <f t="shared" si="4"/>
        <v>5.4083288263928608E-4</v>
      </c>
    </row>
    <row r="109" spans="1:14" ht="15" customHeight="1" x14ac:dyDescent="0.25">
      <c r="A109" s="44" t="s">
        <v>511</v>
      </c>
      <c r="C109" s="72">
        <v>1200</v>
      </c>
      <c r="E109" s="31">
        <f>'Estimating Schedule - GF'!I107</f>
        <v>1200</v>
      </c>
      <c r="G109" s="566">
        <v>1200</v>
      </c>
      <c r="I109" s="216">
        <f t="shared" si="4"/>
        <v>0</v>
      </c>
      <c r="J109" s="189"/>
      <c r="K109" s="183"/>
      <c r="L109" s="189"/>
      <c r="M109" s="183"/>
      <c r="N109" s="189"/>
    </row>
    <row r="110" spans="1:14" ht="15" customHeight="1" x14ac:dyDescent="0.25">
      <c r="A110" s="44" t="s">
        <v>512</v>
      </c>
      <c r="C110" s="72">
        <f>13645+6485</f>
        <v>20130</v>
      </c>
      <c r="E110" s="72">
        <f>'Estimating Schedule - GF'!I108</f>
        <v>20190</v>
      </c>
      <c r="G110" s="566">
        <v>20200</v>
      </c>
      <c r="I110" s="216">
        <f t="shared" si="4"/>
        <v>4.9529470034670453E-4</v>
      </c>
    </row>
    <row r="111" spans="1:14" ht="15" customHeight="1" x14ac:dyDescent="0.25">
      <c r="A111" s="44" t="s">
        <v>513</v>
      </c>
      <c r="C111" s="72">
        <v>3708</v>
      </c>
      <c r="E111" s="31">
        <f>'Estimating Schedule - GF'!I109</f>
        <v>5499</v>
      </c>
      <c r="G111" s="566">
        <v>5500</v>
      </c>
      <c r="I111" s="216">
        <f t="shared" si="4"/>
        <v>1.8185124568104172E-4</v>
      </c>
      <c r="K111" s="49"/>
    </row>
    <row r="112" spans="1:14" ht="15" customHeight="1" x14ac:dyDescent="0.25">
      <c r="A112" s="44" t="s">
        <v>514</v>
      </c>
      <c r="C112" s="72">
        <v>341</v>
      </c>
      <c r="E112" s="31">
        <f>'Estimating Schedule - GF'!I110</f>
        <v>1579</v>
      </c>
      <c r="G112" s="566">
        <v>1600</v>
      </c>
      <c r="I112" s="216">
        <f t="shared" si="4"/>
        <v>1.3299556681444002E-2</v>
      </c>
    </row>
    <row r="113" spans="1:16" ht="15" customHeight="1" x14ac:dyDescent="0.25">
      <c r="A113" s="44" t="s">
        <v>515</v>
      </c>
      <c r="C113" s="72">
        <v>1275</v>
      </c>
      <c r="E113" s="31">
        <f>'Estimating Schedule - GF'!I111</f>
        <v>4125</v>
      </c>
      <c r="G113" s="566">
        <v>2500</v>
      </c>
      <c r="I113" s="216">
        <f t="shared" si="4"/>
        <v>-0.39393939393939392</v>
      </c>
    </row>
    <row r="114" spans="1:16" ht="15" customHeight="1" x14ac:dyDescent="0.25">
      <c r="A114" s="44" t="s">
        <v>516</v>
      </c>
      <c r="C114" s="427">
        <v>2654</v>
      </c>
      <c r="E114" s="31">
        <f>'Estimating Schedule - GF'!I112</f>
        <v>4164</v>
      </c>
      <c r="G114" s="566">
        <v>4200</v>
      </c>
      <c r="I114" s="216">
        <f t="shared" si="4"/>
        <v>8.6455331412103043E-3</v>
      </c>
    </row>
    <row r="115" spans="1:16" ht="15" customHeight="1" x14ac:dyDescent="0.25">
      <c r="A115" s="44" t="s">
        <v>448</v>
      </c>
      <c r="C115" s="427">
        <v>149</v>
      </c>
      <c r="E115" s="427">
        <f>'Estimating Schedule - GF'!I113</f>
        <v>0</v>
      </c>
      <c r="F115" s="187"/>
      <c r="G115" s="566">
        <v>0</v>
      </c>
      <c r="I115" s="216">
        <v>1</v>
      </c>
    </row>
    <row r="116" spans="1:16" ht="17.25" customHeight="1" x14ac:dyDescent="0.4">
      <c r="A116" s="44" t="s">
        <v>271</v>
      </c>
      <c r="C116" s="75">
        <f>762+8472</f>
        <v>9234</v>
      </c>
      <c r="E116" s="75">
        <f>'Estimating Schedule - GF'!I114</f>
        <v>1334</v>
      </c>
      <c r="G116" s="567">
        <v>1400</v>
      </c>
      <c r="I116" s="297">
        <f t="shared" si="4"/>
        <v>4.9475262368815498E-2</v>
      </c>
    </row>
    <row r="117" spans="1:16" ht="17.25" customHeight="1" x14ac:dyDescent="0.4">
      <c r="A117" s="69" t="s">
        <v>274</v>
      </c>
      <c r="C117" s="75">
        <f>SUM(C99:C116)</f>
        <v>178842</v>
      </c>
      <c r="E117" s="45">
        <f>SUM(E99:E116)</f>
        <v>159601</v>
      </c>
      <c r="G117" s="45">
        <f>SUM(G99:G116)</f>
        <v>166490</v>
      </c>
      <c r="I117" s="297">
        <f t="shared" si="4"/>
        <v>4.3163889950564194E-2</v>
      </c>
      <c r="J117" s="49"/>
      <c r="K117" s="49">
        <f>153412-C117</f>
        <v>-25430</v>
      </c>
    </row>
    <row r="118" spans="1:16" ht="6" customHeight="1" x14ac:dyDescent="0.25">
      <c r="C118" s="72"/>
      <c r="E118" s="31"/>
      <c r="G118" s="31"/>
    </row>
    <row r="119" spans="1:16" ht="15" customHeight="1" x14ac:dyDescent="0.25">
      <c r="A119" s="2" t="s">
        <v>140</v>
      </c>
      <c r="C119" s="72"/>
      <c r="E119" s="31"/>
      <c r="G119" s="31"/>
    </row>
    <row r="120" spans="1:16" ht="15" customHeight="1" x14ac:dyDescent="0.25">
      <c r="A120" s="44" t="s">
        <v>259</v>
      </c>
      <c r="C120" s="72">
        <v>40000</v>
      </c>
      <c r="E120" s="72">
        <f>'Estimating Schedule - GF'!I118</f>
        <v>40000</v>
      </c>
      <c r="F120" s="72"/>
      <c r="G120" s="570">
        <v>40000</v>
      </c>
      <c r="I120" s="216">
        <f t="shared" ref="I120:I145" si="5">+G120/E120-1</f>
        <v>0</v>
      </c>
      <c r="J120" s="31"/>
      <c r="K120" s="31"/>
    </row>
    <row r="121" spans="1:16" ht="15" customHeight="1" x14ac:dyDescent="0.25">
      <c r="A121" s="44" t="s">
        <v>260</v>
      </c>
      <c r="C121" s="72">
        <v>487033</v>
      </c>
      <c r="E121" s="72">
        <f>'Estimating Schedule - GF'!I119</f>
        <v>502276</v>
      </c>
      <c r="F121" s="72"/>
      <c r="G121" s="570">
        <f>453000+50000</f>
        <v>503000</v>
      </c>
      <c r="H121" s="49"/>
      <c r="I121" s="216">
        <f t="shared" si="5"/>
        <v>1.4414385716219336E-3</v>
      </c>
      <c r="J121" s="31"/>
      <c r="K121" s="31"/>
    </row>
    <row r="122" spans="1:16" s="546" customFormat="1" x14ac:dyDescent="0.25">
      <c r="A122" s="44" t="s">
        <v>504</v>
      </c>
      <c r="C122" s="587">
        <v>0</v>
      </c>
      <c r="E122" s="587">
        <v>0</v>
      </c>
      <c r="F122" s="587"/>
      <c r="G122" s="587">
        <v>4160</v>
      </c>
      <c r="H122" s="413"/>
      <c r="I122" s="417">
        <v>1</v>
      </c>
      <c r="J122" s="573"/>
      <c r="K122" s="573"/>
    </row>
    <row r="123" spans="1:16" ht="15" customHeight="1" x14ac:dyDescent="0.25">
      <c r="A123" s="44" t="s">
        <v>261</v>
      </c>
      <c r="C123" s="72">
        <v>40194</v>
      </c>
      <c r="E123" s="31">
        <f>'Estimating Schedule - GF'!I121</f>
        <v>41834</v>
      </c>
      <c r="G123" s="568">
        <v>42000</v>
      </c>
      <c r="I123" s="216">
        <f t="shared" si="5"/>
        <v>3.9680642539561273E-3</v>
      </c>
      <c r="J123" s="31"/>
      <c r="K123" s="31"/>
    </row>
    <row r="124" spans="1:16" ht="15" customHeight="1" x14ac:dyDescent="0.25">
      <c r="A124" s="44" t="s">
        <v>262</v>
      </c>
      <c r="C124" s="72">
        <v>78188</v>
      </c>
      <c r="E124" s="31">
        <f>'Estimating Schedule - GF'!I122</f>
        <v>79163</v>
      </c>
      <c r="G124" s="568">
        <v>79200</v>
      </c>
      <c r="I124" s="216">
        <f t="shared" si="5"/>
        <v>4.6739006859275456E-4</v>
      </c>
      <c r="J124" s="31"/>
      <c r="K124" s="31"/>
    </row>
    <row r="125" spans="1:16" ht="15" customHeight="1" x14ac:dyDescent="0.25">
      <c r="A125" s="44" t="s">
        <v>383</v>
      </c>
      <c r="C125" s="72">
        <v>18076</v>
      </c>
      <c r="E125" s="31">
        <f>'Estimating Schedule - GF'!I123</f>
        <v>27811</v>
      </c>
      <c r="G125" s="568">
        <v>27800</v>
      </c>
      <c r="I125" s="216">
        <f t="shared" si="5"/>
        <v>-3.955269497680769E-4</v>
      </c>
      <c r="J125" s="31"/>
      <c r="K125" s="31"/>
    </row>
    <row r="126" spans="1:16" ht="15" customHeight="1" x14ac:dyDescent="0.25">
      <c r="A126" s="44" t="s">
        <v>264</v>
      </c>
      <c r="C126" s="72">
        <v>4021</v>
      </c>
      <c r="E126" s="573">
        <f>'Estimating Schedule - GF'!I124</f>
        <v>2152</v>
      </c>
      <c r="G126" s="568">
        <v>2000</v>
      </c>
      <c r="I126" s="216">
        <v>1</v>
      </c>
      <c r="J126" s="31"/>
      <c r="K126" s="31"/>
    </row>
    <row r="127" spans="1:16" ht="15" customHeight="1" x14ac:dyDescent="0.25">
      <c r="A127" s="44" t="s">
        <v>265</v>
      </c>
      <c r="C127" s="72">
        <v>36800</v>
      </c>
      <c r="E127" s="31">
        <f>'Estimating Schedule - GF'!I125</f>
        <v>27721</v>
      </c>
      <c r="G127" s="568">
        <v>21000</v>
      </c>
      <c r="I127" s="216">
        <f t="shared" si="5"/>
        <v>-0.24245157101114678</v>
      </c>
      <c r="J127" s="31"/>
      <c r="K127" s="31"/>
      <c r="P127" s="72"/>
    </row>
    <row r="128" spans="1:16" ht="15" customHeight="1" x14ac:dyDescent="0.25">
      <c r="A128" s="44" t="s">
        <v>476</v>
      </c>
      <c r="C128" s="72">
        <v>1470</v>
      </c>
      <c r="E128" s="31">
        <f>'Estimating Schedule - GF'!I126</f>
        <v>408</v>
      </c>
      <c r="G128" s="568">
        <v>800</v>
      </c>
      <c r="I128" s="216">
        <f t="shared" si="5"/>
        <v>0.96078431372549011</v>
      </c>
      <c r="J128" s="31"/>
      <c r="K128" s="31"/>
      <c r="P128" s="187"/>
    </row>
    <row r="129" spans="1:16" ht="15" customHeight="1" x14ac:dyDescent="0.25">
      <c r="A129" s="44" t="s">
        <v>257</v>
      </c>
      <c r="C129" s="72">
        <v>14309</v>
      </c>
      <c r="E129" s="31">
        <f>'Estimating Schedule - GF'!I127</f>
        <v>10519</v>
      </c>
      <c r="G129" s="568">
        <v>10600</v>
      </c>
      <c r="I129" s="216">
        <f t="shared" si="5"/>
        <v>7.7003517444624858E-3</v>
      </c>
      <c r="J129" s="31"/>
      <c r="K129" s="31"/>
      <c r="P129" s="31"/>
    </row>
    <row r="130" spans="1:16" ht="15" customHeight="1" x14ac:dyDescent="0.25">
      <c r="A130" s="44" t="s">
        <v>256</v>
      </c>
      <c r="C130" s="72">
        <v>3311</v>
      </c>
      <c r="E130" s="31">
        <f>'Estimating Schedule - GF'!I128</f>
        <v>10518</v>
      </c>
      <c r="G130" s="568">
        <v>7500</v>
      </c>
      <c r="I130" s="216">
        <f t="shared" si="5"/>
        <v>-0.28693667997718197</v>
      </c>
      <c r="J130" s="31"/>
      <c r="K130" s="31"/>
      <c r="L130" s="49"/>
      <c r="P130" s="31"/>
    </row>
    <row r="131" spans="1:16" ht="15" customHeight="1" x14ac:dyDescent="0.25">
      <c r="A131" s="44" t="s">
        <v>266</v>
      </c>
      <c r="C131" s="72">
        <v>5164</v>
      </c>
      <c r="E131" s="31">
        <f>'Estimating Schedule - GF'!I129</f>
        <v>1839</v>
      </c>
      <c r="G131" s="568">
        <v>2000</v>
      </c>
      <c r="I131" s="216">
        <f t="shared" si="5"/>
        <v>8.7547580206634112E-2</v>
      </c>
      <c r="J131" s="31"/>
      <c r="K131" s="31"/>
      <c r="P131" s="31"/>
    </row>
    <row r="132" spans="1:16" ht="15" customHeight="1" x14ac:dyDescent="0.25">
      <c r="A132" s="44" t="s">
        <v>366</v>
      </c>
      <c r="C132" s="72">
        <v>3090</v>
      </c>
      <c r="E132" s="31">
        <f>'Estimating Schedule - GF'!I130</f>
        <v>2236</v>
      </c>
      <c r="G132" s="568">
        <v>2500</v>
      </c>
      <c r="I132" s="216">
        <f t="shared" si="5"/>
        <v>0.11806797853309492</v>
      </c>
      <c r="J132" s="31"/>
      <c r="K132" s="31"/>
      <c r="P132" s="31"/>
    </row>
    <row r="133" spans="1:16" ht="15" customHeight="1" x14ac:dyDescent="0.25">
      <c r="A133" s="44" t="s">
        <v>290</v>
      </c>
      <c r="C133" s="72">
        <v>3037</v>
      </c>
      <c r="E133" s="31">
        <f>'Estimating Schedule - GF'!I131</f>
        <v>4119</v>
      </c>
      <c r="G133" s="568">
        <v>3200</v>
      </c>
      <c r="I133" s="216">
        <f t="shared" si="5"/>
        <v>-0.22311240592376791</v>
      </c>
      <c r="J133" s="31"/>
      <c r="K133" s="31"/>
      <c r="P133" s="31"/>
    </row>
    <row r="134" spans="1:16" ht="15" customHeight="1" x14ac:dyDescent="0.25">
      <c r="A134" s="44" t="s">
        <v>267</v>
      </c>
      <c r="C134" s="72">
        <v>8542</v>
      </c>
      <c r="E134" s="31">
        <f>'Estimating Schedule - GF'!I132</f>
        <v>3057</v>
      </c>
      <c r="G134" s="568">
        <v>3100</v>
      </c>
      <c r="I134" s="216">
        <f t="shared" si="5"/>
        <v>1.4066077854105297E-2</v>
      </c>
      <c r="J134" s="31"/>
      <c r="K134" s="31"/>
      <c r="P134" s="31"/>
    </row>
    <row r="135" spans="1:16" ht="15" customHeight="1" x14ac:dyDescent="0.25">
      <c r="A135" s="44" t="s">
        <v>268</v>
      </c>
      <c r="C135" s="72">
        <v>11918</v>
      </c>
      <c r="E135" s="31">
        <f>'Estimating Schedule - GF'!I133</f>
        <v>13307</v>
      </c>
      <c r="G135" s="568">
        <v>13400</v>
      </c>
      <c r="I135" s="216">
        <f t="shared" si="5"/>
        <v>6.9888028856992523E-3</v>
      </c>
      <c r="J135" s="31">
        <v>0</v>
      </c>
      <c r="K135" s="31"/>
      <c r="P135" s="31"/>
    </row>
    <row r="136" spans="1:16" ht="15" customHeight="1" x14ac:dyDescent="0.25">
      <c r="A136" s="44" t="s">
        <v>269</v>
      </c>
      <c r="C136" s="72">
        <v>49902</v>
      </c>
      <c r="E136" s="31">
        <f>'Estimating Schedule - GF'!I134</f>
        <v>14262</v>
      </c>
      <c r="G136" s="568">
        <v>14300</v>
      </c>
      <c r="I136" s="216">
        <f t="shared" si="5"/>
        <v>2.6644229420837995E-3</v>
      </c>
      <c r="J136" s="31"/>
      <c r="K136" s="31"/>
      <c r="P136" s="31"/>
    </row>
    <row r="137" spans="1:16" ht="15" customHeight="1" x14ac:dyDescent="0.25">
      <c r="A137" s="44" t="s">
        <v>401</v>
      </c>
      <c r="C137" s="174">
        <v>0</v>
      </c>
      <c r="E137" s="31">
        <f>'Estimating Schedule - GF'!I135</f>
        <v>0</v>
      </c>
      <c r="F137" s="174"/>
      <c r="G137" s="568">
        <v>0</v>
      </c>
      <c r="I137" s="216">
        <v>0</v>
      </c>
      <c r="J137" s="31"/>
      <c r="K137" s="31"/>
      <c r="P137" s="31"/>
    </row>
    <row r="138" spans="1:16" ht="15" customHeight="1" x14ac:dyDescent="0.25">
      <c r="A138" s="44" t="s">
        <v>270</v>
      </c>
      <c r="C138" s="72">
        <v>7118</v>
      </c>
      <c r="E138" s="31">
        <f>'Estimating Schedule - GF'!I136</f>
        <v>7177</v>
      </c>
      <c r="G138" s="568">
        <v>7200</v>
      </c>
      <c r="I138" s="216">
        <f t="shared" si="5"/>
        <v>3.204681621847616E-3</v>
      </c>
      <c r="J138" s="31">
        <v>0</v>
      </c>
      <c r="K138" s="31"/>
      <c r="P138" s="31"/>
    </row>
    <row r="139" spans="1:16" ht="15" customHeight="1" x14ac:dyDescent="0.25">
      <c r="A139" s="44" t="s">
        <v>291</v>
      </c>
      <c r="C139" s="72">
        <v>3666</v>
      </c>
      <c r="E139" s="31">
        <f>'Estimating Schedule - GF'!I137</f>
        <v>2051</v>
      </c>
      <c r="G139" s="568">
        <v>2100</v>
      </c>
      <c r="I139" s="216">
        <f t="shared" si="5"/>
        <v>2.3890784982935065E-2</v>
      </c>
      <c r="J139" s="31"/>
      <c r="K139" s="31"/>
      <c r="P139" s="31"/>
    </row>
    <row r="140" spans="1:16" ht="15" customHeight="1" x14ac:dyDescent="0.25">
      <c r="A140" s="44" t="s">
        <v>271</v>
      </c>
      <c r="C140" s="72">
        <v>1240</v>
      </c>
      <c r="E140" s="31">
        <f>'Estimating Schedule - GF'!I138</f>
        <v>3493</v>
      </c>
      <c r="F140" s="31"/>
      <c r="G140" s="568">
        <v>3500</v>
      </c>
      <c r="I140" s="216">
        <f t="shared" si="5"/>
        <v>2.0040080160319551E-3</v>
      </c>
      <c r="J140" s="31"/>
      <c r="K140" s="31"/>
      <c r="P140" s="31"/>
    </row>
    <row r="141" spans="1:16" ht="15" customHeight="1" x14ac:dyDescent="0.25">
      <c r="A141" s="44" t="s">
        <v>317</v>
      </c>
      <c r="C141" s="72">
        <v>9674</v>
      </c>
      <c r="E141" s="31">
        <f>'Estimating Schedule - GF'!I139</f>
        <v>11144</v>
      </c>
      <c r="G141" s="568">
        <v>11200</v>
      </c>
      <c r="I141" s="216">
        <f t="shared" si="5"/>
        <v>5.0251256281406143E-3</v>
      </c>
      <c r="J141" s="31"/>
      <c r="K141" s="31"/>
      <c r="P141" s="31"/>
    </row>
    <row r="142" spans="1:16" ht="15" customHeight="1" x14ac:dyDescent="0.25">
      <c r="A142" s="44" t="s">
        <v>367</v>
      </c>
      <c r="C142" s="72">
        <v>0</v>
      </c>
      <c r="E142" s="573">
        <f>'Estimating Schedule - GF'!I140</f>
        <v>1500</v>
      </c>
      <c r="G142" s="568">
        <v>1000</v>
      </c>
      <c r="I142" s="417">
        <f t="shared" si="5"/>
        <v>-0.33333333333333337</v>
      </c>
      <c r="J142" s="31"/>
      <c r="K142" s="31"/>
      <c r="P142" s="31"/>
    </row>
    <row r="143" spans="1:16" ht="15" customHeight="1" x14ac:dyDescent="0.25">
      <c r="A143" s="44" t="s">
        <v>400</v>
      </c>
      <c r="C143" s="72">
        <v>1704</v>
      </c>
      <c r="E143" s="31">
        <f>'Estimating Schedule - GF'!I141</f>
        <v>647</v>
      </c>
      <c r="F143" s="174"/>
      <c r="G143" s="568">
        <v>700</v>
      </c>
      <c r="I143" s="417">
        <f t="shared" si="5"/>
        <v>8.1916537867078754E-2</v>
      </c>
      <c r="J143" s="31"/>
      <c r="K143" s="31"/>
      <c r="P143" s="31"/>
    </row>
    <row r="144" spans="1:16" ht="17.25" customHeight="1" x14ac:dyDescent="0.4">
      <c r="A144" s="44" t="s">
        <v>272</v>
      </c>
      <c r="C144" s="75">
        <v>2695</v>
      </c>
      <c r="E144" s="45">
        <f>'Estimating Schedule - GF'!I142</f>
        <v>500</v>
      </c>
      <c r="F144" s="37"/>
      <c r="G144" s="569">
        <v>800</v>
      </c>
      <c r="I144" s="317">
        <f t="shared" si="5"/>
        <v>0.60000000000000009</v>
      </c>
      <c r="J144" s="31"/>
      <c r="K144" s="31"/>
      <c r="P144" s="31"/>
    </row>
    <row r="145" spans="1:16" ht="17.25" customHeight="1" x14ac:dyDescent="0.4">
      <c r="A145" s="69" t="s">
        <v>273</v>
      </c>
      <c r="C145" s="75">
        <f>SUM(C120:C144)</f>
        <v>831152</v>
      </c>
      <c r="D145" s="4"/>
      <c r="E145" s="45">
        <f>SUM(E120:E144)</f>
        <v>807734</v>
      </c>
      <c r="F145" s="36">
        <v>0</v>
      </c>
      <c r="G145" s="45">
        <f>SUM(G120:G144)</f>
        <v>803060</v>
      </c>
      <c r="I145" s="317">
        <f t="shared" si="5"/>
        <v>-5.7865584462211128E-3</v>
      </c>
      <c r="J145" s="31"/>
      <c r="K145" s="31"/>
      <c r="P145" s="31"/>
    </row>
    <row r="146" spans="1:16" ht="15" customHeight="1" x14ac:dyDescent="0.4">
      <c r="A146" s="69"/>
      <c r="C146" s="75"/>
      <c r="D146" s="4"/>
      <c r="E146" s="45"/>
      <c r="F146" s="36"/>
      <c r="G146" s="47"/>
      <c r="I146" s="47" t="s">
        <v>241</v>
      </c>
      <c r="K146" s="49"/>
      <c r="P146" s="31"/>
    </row>
    <row r="147" spans="1:16" ht="15" customHeight="1" x14ac:dyDescent="0.25">
      <c r="A147" s="623" t="s">
        <v>47</v>
      </c>
      <c r="B147" s="623"/>
      <c r="C147" s="623"/>
      <c r="D147" s="623"/>
      <c r="E147" s="623"/>
      <c r="F147" s="623"/>
      <c r="G147" s="623"/>
      <c r="H147" s="623"/>
      <c r="I147" s="623"/>
      <c r="P147" s="31"/>
    </row>
    <row r="148" spans="1:16" ht="15" customHeight="1" x14ac:dyDescent="0.25">
      <c r="A148" s="623" t="s">
        <v>227</v>
      </c>
      <c r="B148" s="623"/>
      <c r="C148" s="623"/>
      <c r="D148" s="623"/>
      <c r="E148" s="623"/>
      <c r="F148" s="623"/>
      <c r="G148" s="623"/>
      <c r="H148" s="623"/>
      <c r="I148" s="623"/>
      <c r="P148" s="31"/>
    </row>
    <row r="149" spans="1:16" ht="15" customHeight="1" x14ac:dyDescent="0.25">
      <c r="A149" s="623" t="s">
        <v>230</v>
      </c>
      <c r="B149" s="623"/>
      <c r="C149" s="623"/>
      <c r="D149" s="623"/>
      <c r="E149" s="623"/>
      <c r="F149" s="623"/>
      <c r="G149" s="623"/>
      <c r="H149" s="623"/>
      <c r="I149" s="623"/>
    </row>
    <row r="150" spans="1:16" ht="15" customHeight="1" x14ac:dyDescent="0.25">
      <c r="A150" s="623" t="str">
        <f>A4</f>
        <v>Year Ending September 30, 2019</v>
      </c>
      <c r="B150" s="623"/>
      <c r="C150" s="623"/>
      <c r="D150" s="623"/>
      <c r="E150" s="623"/>
      <c r="F150" s="623"/>
      <c r="G150" s="623"/>
      <c r="H150" s="623"/>
      <c r="I150" s="623"/>
    </row>
    <row r="151" spans="1:16" ht="15" customHeight="1" x14ac:dyDescent="0.25"/>
    <row r="152" spans="1:16" ht="17.25" customHeight="1" x14ac:dyDescent="0.25">
      <c r="C152" s="627" t="s">
        <v>109</v>
      </c>
      <c r="D152" s="627"/>
      <c r="E152" s="627"/>
      <c r="F152" s="627"/>
      <c r="G152" s="627"/>
    </row>
    <row r="153" spans="1:16" ht="15" customHeight="1" x14ac:dyDescent="0.25">
      <c r="C153" s="86">
        <f>C7</f>
        <v>2017</v>
      </c>
      <c r="D153" s="77"/>
      <c r="E153" s="26">
        <f>E7</f>
        <v>2018</v>
      </c>
      <c r="F153" s="77"/>
      <c r="G153" s="26">
        <f>G7</f>
        <v>2019</v>
      </c>
      <c r="I153" s="7" t="s">
        <v>384</v>
      </c>
    </row>
    <row r="154" spans="1:16" ht="17.25" customHeight="1" x14ac:dyDescent="0.25">
      <c r="C154" s="121" t="s">
        <v>83</v>
      </c>
      <c r="E154" s="48" t="s">
        <v>84</v>
      </c>
      <c r="G154" s="48" t="s">
        <v>85</v>
      </c>
      <c r="I154" s="215" t="s">
        <v>385</v>
      </c>
    </row>
    <row r="155" spans="1:16" ht="15" customHeight="1" x14ac:dyDescent="0.25">
      <c r="A155" s="2" t="s">
        <v>379</v>
      </c>
    </row>
    <row r="156" spans="1:16" ht="15" customHeight="1" x14ac:dyDescent="0.25">
      <c r="A156" s="44" t="s">
        <v>368</v>
      </c>
      <c r="C156" s="72">
        <v>26500</v>
      </c>
      <c r="D156" s="3"/>
      <c r="E156" s="31">
        <f>'Estimating Schedule - GF'!I155</f>
        <v>17845</v>
      </c>
      <c r="F156" s="3"/>
      <c r="G156" s="573">
        <v>25000</v>
      </c>
      <c r="I156" s="216">
        <f>+G156/E156-1</f>
        <v>0.40095264780050432</v>
      </c>
      <c r="J156" s="49"/>
      <c r="K156" s="140">
        <v>25500</v>
      </c>
    </row>
    <row r="157" spans="1:16" ht="15" customHeight="1" x14ac:dyDescent="0.25">
      <c r="A157" s="44" t="s">
        <v>370</v>
      </c>
      <c r="C157" s="587">
        <v>1926</v>
      </c>
      <c r="D157" s="92"/>
      <c r="E157" s="587">
        <f>'Estimating Schedule - GF'!I156</f>
        <v>1365</v>
      </c>
      <c r="F157" s="3"/>
      <c r="G157" s="573">
        <v>1800</v>
      </c>
      <c r="I157" s="216">
        <f t="shared" ref="I157:I182" si="6">+G157/E157-1</f>
        <v>0.31868131868131866</v>
      </c>
      <c r="J157" s="302"/>
      <c r="K157" s="140">
        <v>1867</v>
      </c>
    </row>
    <row r="158" spans="1:16" ht="15" customHeight="1" x14ac:dyDescent="0.25">
      <c r="A158" s="44" t="s">
        <v>371</v>
      </c>
      <c r="C158" s="587">
        <f>15314+1172</f>
        <v>16486</v>
      </c>
      <c r="D158" s="82"/>
      <c r="E158" s="587">
        <f>'Estimating Schedule - GF'!I157</f>
        <v>16751</v>
      </c>
      <c r="G158" s="572">
        <v>16800</v>
      </c>
      <c r="I158" s="216">
        <f t="shared" si="6"/>
        <v>2.9251984956122357E-3</v>
      </c>
      <c r="K158" s="140">
        <v>16425</v>
      </c>
    </row>
    <row r="159" spans="1:16" s="546" customFormat="1" ht="15" customHeight="1" x14ac:dyDescent="0.25">
      <c r="A159" s="44" t="s">
        <v>517</v>
      </c>
      <c r="C159" s="587">
        <v>0</v>
      </c>
      <c r="D159" s="82"/>
      <c r="E159" s="587">
        <v>0</v>
      </c>
      <c r="G159" s="572">
        <v>0</v>
      </c>
      <c r="I159" s="417">
        <v>0</v>
      </c>
      <c r="K159" s="140"/>
    </row>
    <row r="160" spans="1:16" ht="15" customHeight="1" x14ac:dyDescent="0.25">
      <c r="A160" s="44" t="s">
        <v>372</v>
      </c>
      <c r="C160" s="587">
        <v>0</v>
      </c>
      <c r="D160" s="82"/>
      <c r="E160" s="587">
        <f>'Estimating Schedule - GF'!I159</f>
        <v>1290</v>
      </c>
      <c r="G160" s="572">
        <v>1300</v>
      </c>
      <c r="I160" s="417">
        <f t="shared" si="6"/>
        <v>7.7519379844961378E-3</v>
      </c>
      <c r="K160" s="140">
        <v>1257</v>
      </c>
    </row>
    <row r="161" spans="1:14" ht="15" customHeight="1" x14ac:dyDescent="0.25">
      <c r="A161" s="44" t="s">
        <v>408</v>
      </c>
      <c r="C161" s="587">
        <f>21954+1679</f>
        <v>23633</v>
      </c>
      <c r="D161" s="82"/>
      <c r="E161" s="587">
        <f>'Estimating Schedule - GF'!I160</f>
        <v>22360</v>
      </c>
      <c r="G161" s="572">
        <v>22400</v>
      </c>
      <c r="I161" s="417">
        <f t="shared" si="6"/>
        <v>1.7889087656528524E-3</v>
      </c>
      <c r="K161" s="140">
        <v>19327</v>
      </c>
    </row>
    <row r="162" spans="1:14" s="546" customFormat="1" ht="15" customHeight="1" x14ac:dyDescent="0.25">
      <c r="A162" s="44" t="s">
        <v>518</v>
      </c>
      <c r="C162" s="587">
        <v>0</v>
      </c>
      <c r="D162" s="82"/>
      <c r="E162" s="587">
        <v>0</v>
      </c>
      <c r="G162" s="572">
        <v>0</v>
      </c>
      <c r="I162" s="600">
        <v>0</v>
      </c>
      <c r="K162" s="140"/>
    </row>
    <row r="163" spans="1:14" ht="15" customHeight="1" x14ac:dyDescent="0.25">
      <c r="A163" s="44" t="s">
        <v>407</v>
      </c>
      <c r="C163" s="587">
        <v>0</v>
      </c>
      <c r="D163" s="82"/>
      <c r="E163" s="587">
        <f>'Estimating Schedule - GF'!I162</f>
        <v>1712</v>
      </c>
      <c r="G163" s="572">
        <v>1750</v>
      </c>
      <c r="I163" s="216">
        <f t="shared" si="6"/>
        <v>2.219626168224309E-2</v>
      </c>
      <c r="K163" s="140">
        <v>1479</v>
      </c>
    </row>
    <row r="164" spans="1:14" ht="15" customHeight="1" x14ac:dyDescent="0.25">
      <c r="A164" s="44" t="s">
        <v>373</v>
      </c>
      <c r="C164" s="587">
        <f>3750+225</f>
        <v>3975</v>
      </c>
      <c r="D164" s="82"/>
      <c r="E164" s="587">
        <f>'Estimating Schedule - GF'!I163</f>
        <v>3826</v>
      </c>
      <c r="G164" s="573">
        <v>3850</v>
      </c>
      <c r="I164" s="216">
        <f t="shared" si="6"/>
        <v>6.2728698379508341E-3</v>
      </c>
      <c r="K164" s="140">
        <v>5014</v>
      </c>
    </row>
    <row r="165" spans="1:14" ht="15" customHeight="1" x14ac:dyDescent="0.25">
      <c r="A165" s="44" t="s">
        <v>255</v>
      </c>
      <c r="C165" s="587">
        <v>2102</v>
      </c>
      <c r="D165" s="82"/>
      <c r="E165" s="587">
        <f>'Estimating Schedule - GF'!I164</f>
        <v>6540</v>
      </c>
      <c r="G165" s="573">
        <v>3000</v>
      </c>
      <c r="I165" s="216">
        <f t="shared" si="6"/>
        <v>-0.54128440366972475</v>
      </c>
      <c r="J165" s="49"/>
      <c r="K165" s="140">
        <v>2257</v>
      </c>
    </row>
    <row r="166" spans="1:14" ht="15" customHeight="1" x14ac:dyDescent="0.25">
      <c r="A166" s="44" t="s">
        <v>503</v>
      </c>
      <c r="C166" s="587">
        <v>0</v>
      </c>
      <c r="D166" s="82"/>
      <c r="E166" s="587">
        <v>0</v>
      </c>
      <c r="F166" s="546"/>
      <c r="G166" s="573">
        <v>0</v>
      </c>
      <c r="I166" s="216">
        <v>0</v>
      </c>
      <c r="J166" s="49"/>
      <c r="K166" s="140"/>
    </row>
    <row r="167" spans="1:14" ht="15" customHeight="1" x14ac:dyDescent="0.25">
      <c r="A167" s="44" t="s">
        <v>393</v>
      </c>
      <c r="C167" s="587"/>
      <c r="D167" s="82"/>
      <c r="E167" s="587"/>
      <c r="G167" s="573"/>
      <c r="I167" s="216"/>
      <c r="J167" s="49"/>
      <c r="K167" s="31"/>
      <c r="N167" s="190"/>
    </row>
    <row r="168" spans="1:14" ht="15" customHeight="1" x14ac:dyDescent="0.25">
      <c r="A168" s="190" t="s">
        <v>395</v>
      </c>
      <c r="C168" s="31">
        <v>26498</v>
      </c>
      <c r="E168" s="31">
        <f>'Estimating Schedule - GF'!I166</f>
        <v>28310</v>
      </c>
      <c r="G168" s="573">
        <v>28300</v>
      </c>
      <c r="I168" s="216">
        <f t="shared" si="6"/>
        <v>-3.5323207347226493E-4</v>
      </c>
      <c r="K168" s="140">
        <v>17522</v>
      </c>
    </row>
    <row r="169" spans="1:14" ht="15" customHeight="1" x14ac:dyDescent="0.25">
      <c r="A169" s="190" t="s">
        <v>399</v>
      </c>
      <c r="C169" s="291">
        <v>2027</v>
      </c>
      <c r="E169" s="31">
        <f>'Estimating Schedule - GF'!I167</f>
        <v>2166</v>
      </c>
      <c r="G169" s="573">
        <v>2175</v>
      </c>
      <c r="I169" s="216">
        <f t="shared" si="6"/>
        <v>4.1551246537396835E-3</v>
      </c>
      <c r="J169" s="169"/>
      <c r="K169" s="187">
        <v>0</v>
      </c>
    </row>
    <row r="170" spans="1:14" ht="15" customHeight="1" x14ac:dyDescent="0.25">
      <c r="A170" s="190" t="s">
        <v>268</v>
      </c>
      <c r="C170" s="72">
        <v>4256</v>
      </c>
      <c r="E170" s="31">
        <f>'Estimating Schedule - GF'!I168</f>
        <v>1936</v>
      </c>
      <c r="G170" s="573">
        <v>2000</v>
      </c>
      <c r="I170" s="216">
        <f t="shared" si="6"/>
        <v>3.3057851239669311E-2</v>
      </c>
      <c r="K170" s="140">
        <v>1524</v>
      </c>
    </row>
    <row r="171" spans="1:14" ht="15" customHeight="1" x14ac:dyDescent="0.25">
      <c r="A171" s="190" t="s">
        <v>375</v>
      </c>
      <c r="C171" s="31">
        <v>0</v>
      </c>
      <c r="E171" s="31">
        <f>'Estimating Schedule - GF'!I169</f>
        <v>2691</v>
      </c>
      <c r="G171" s="573">
        <v>800</v>
      </c>
      <c r="I171" s="216">
        <f t="shared" si="6"/>
        <v>-0.70271274619100699</v>
      </c>
      <c r="K171" s="140">
        <f>876</f>
        <v>876</v>
      </c>
    </row>
    <row r="172" spans="1:14" ht="15" customHeight="1" x14ac:dyDescent="0.25">
      <c r="A172" s="190" t="s">
        <v>270</v>
      </c>
      <c r="C172" s="72">
        <v>1940</v>
      </c>
      <c r="E172" s="31">
        <f>'Estimating Schedule - GF'!I170</f>
        <v>2834</v>
      </c>
      <c r="G172" s="573">
        <v>2850</v>
      </c>
      <c r="I172" s="216">
        <f t="shared" si="6"/>
        <v>5.6457304163726185E-3</v>
      </c>
      <c r="K172" s="140">
        <v>2278</v>
      </c>
    </row>
    <row r="173" spans="1:14" ht="15" customHeight="1" x14ac:dyDescent="0.25">
      <c r="A173" s="190" t="s">
        <v>257</v>
      </c>
      <c r="C173" s="72">
        <v>8</v>
      </c>
      <c r="E173" s="31">
        <f>'Estimating Schedule - GF'!I171</f>
        <v>425</v>
      </c>
      <c r="G173" s="573">
        <v>300</v>
      </c>
      <c r="I173" s="563">
        <f t="shared" si="6"/>
        <v>-0.29411764705882348</v>
      </c>
      <c r="J173" s="1" t="s">
        <v>465</v>
      </c>
      <c r="K173" s="31">
        <f>2966+1030+665+200</f>
        <v>4861</v>
      </c>
    </row>
    <row r="174" spans="1:14" ht="15" customHeight="1" x14ac:dyDescent="0.25">
      <c r="A174" s="44" t="s">
        <v>374</v>
      </c>
      <c r="C174" s="174">
        <v>0</v>
      </c>
      <c r="E174" s="174"/>
      <c r="G174" s="573"/>
      <c r="I174" s="216"/>
      <c r="J174" s="49"/>
      <c r="K174" s="174"/>
    </row>
    <row r="175" spans="1:14" ht="15" customHeight="1" x14ac:dyDescent="0.25">
      <c r="A175" s="190" t="s">
        <v>270</v>
      </c>
      <c r="C175" s="72">
        <f>2749+4205</f>
        <v>6954</v>
      </c>
      <c r="E175" s="31">
        <f>'Estimating Schedule - GF'!I173</f>
        <v>2275</v>
      </c>
      <c r="G175" s="573">
        <v>2300</v>
      </c>
      <c r="I175" s="216">
        <f t="shared" si="6"/>
        <v>1.098901098901095E-2</v>
      </c>
      <c r="K175" s="140">
        <v>1973</v>
      </c>
    </row>
    <row r="176" spans="1:14" ht="15" customHeight="1" x14ac:dyDescent="0.25">
      <c r="A176" s="190" t="s">
        <v>375</v>
      </c>
      <c r="C176" s="72">
        <v>2673</v>
      </c>
      <c r="E176" s="31">
        <f>'Estimating Schedule - GF'!I174</f>
        <v>2792</v>
      </c>
      <c r="G176" s="573">
        <v>2800</v>
      </c>
      <c r="I176" s="216">
        <f t="shared" si="6"/>
        <v>2.8653295128939771E-3</v>
      </c>
      <c r="J176" s="1" t="s">
        <v>466</v>
      </c>
      <c r="K176" s="31">
        <v>3296</v>
      </c>
    </row>
    <row r="177" spans="1:13" ht="15" customHeight="1" x14ac:dyDescent="0.25">
      <c r="A177" s="44" t="s">
        <v>376</v>
      </c>
      <c r="C177" s="72"/>
      <c r="E177" s="31"/>
      <c r="G177" s="571"/>
      <c r="I177" s="216"/>
      <c r="K177" s="31"/>
    </row>
    <row r="178" spans="1:13" ht="15" customHeight="1" x14ac:dyDescent="0.25">
      <c r="A178" s="190" t="s">
        <v>377</v>
      </c>
      <c r="C178" s="31">
        <v>14574</v>
      </c>
      <c r="D178" s="4"/>
      <c r="E178" s="31">
        <f>'Estimating Schedule - GF'!I176</f>
        <v>11153</v>
      </c>
      <c r="F178" s="4"/>
      <c r="G178" s="573">
        <v>12500</v>
      </c>
      <c r="I178" s="216">
        <f t="shared" si="6"/>
        <v>0.12077467945844167</v>
      </c>
      <c r="K178" s="140">
        <v>21124</v>
      </c>
      <c r="M178" s="49">
        <f>SUM(K156:K181)-M179</f>
        <v>47183</v>
      </c>
    </row>
    <row r="179" spans="1:13" ht="15" customHeight="1" x14ac:dyDescent="0.25">
      <c r="A179" s="190" t="s">
        <v>269</v>
      </c>
      <c r="C179" s="72">
        <v>2203</v>
      </c>
      <c r="D179" s="4"/>
      <c r="E179" s="31">
        <f>'Estimating Schedule - GF'!I177</f>
        <v>2203</v>
      </c>
      <c r="F179" s="4"/>
      <c r="G179" s="573">
        <v>2203</v>
      </c>
      <c r="I179" s="216">
        <f t="shared" si="6"/>
        <v>0</v>
      </c>
      <c r="K179" s="140">
        <v>2303</v>
      </c>
      <c r="M179" s="1">
        <v>120726</v>
      </c>
    </row>
    <row r="180" spans="1:13" ht="15" customHeight="1" x14ac:dyDescent="0.25">
      <c r="A180" s="190" t="s">
        <v>378</v>
      </c>
      <c r="C180" s="254">
        <v>800</v>
      </c>
      <c r="D180" s="4"/>
      <c r="E180" s="31">
        <f>'Estimating Schedule - GF'!I178</f>
        <v>540</v>
      </c>
      <c r="F180" s="4"/>
      <c r="G180" s="573">
        <v>800</v>
      </c>
      <c r="I180" s="216">
        <f t="shared" si="6"/>
        <v>0.4814814814814814</v>
      </c>
      <c r="K180" s="187">
        <v>0</v>
      </c>
      <c r="L180" s="174"/>
    </row>
    <row r="181" spans="1:13" ht="17.25" customHeight="1" x14ac:dyDescent="0.4">
      <c r="A181" s="190" t="s">
        <v>410</v>
      </c>
      <c r="C181" s="116">
        <f>11938+11012+9221+5854</f>
        <v>38025</v>
      </c>
      <c r="D181" s="4"/>
      <c r="E181" s="80">
        <f>'Estimating Schedule - GF'!I179</f>
        <v>17622</v>
      </c>
      <c r="F181" s="4"/>
      <c r="G181" s="574">
        <v>18500</v>
      </c>
      <c r="I181" s="297">
        <f t="shared" si="6"/>
        <v>4.9824083531948782E-2</v>
      </c>
      <c r="K181" s="80">
        <v>39026</v>
      </c>
    </row>
    <row r="182" spans="1:13" ht="17.25" customHeight="1" x14ac:dyDescent="0.4">
      <c r="A182" s="69" t="s">
        <v>275</v>
      </c>
      <c r="C182" s="45">
        <f>SUM(C156:C181)</f>
        <v>174580</v>
      </c>
      <c r="D182" s="4"/>
      <c r="E182" s="45">
        <f>SUM(E156:E181)</f>
        <v>146636</v>
      </c>
      <c r="F182" s="4"/>
      <c r="G182" s="574">
        <f>SUM(G156:G181)</f>
        <v>151428</v>
      </c>
      <c r="I182" s="297">
        <f t="shared" si="6"/>
        <v>3.2679560271693164E-2</v>
      </c>
      <c r="J182" s="49">
        <f>C182-198136</f>
        <v>-23556</v>
      </c>
    </row>
    <row r="183" spans="1:13" ht="9.9499999999999993" customHeight="1" x14ac:dyDescent="0.4">
      <c r="C183" s="75"/>
      <c r="D183" s="4"/>
      <c r="E183" s="45"/>
      <c r="F183" s="4"/>
      <c r="G183" s="574"/>
    </row>
    <row r="184" spans="1:13" ht="15" customHeight="1" x14ac:dyDescent="0.25">
      <c r="A184" s="2" t="s">
        <v>145</v>
      </c>
      <c r="C184" s="72"/>
      <c r="E184" s="31"/>
      <c r="G184" s="573"/>
    </row>
    <row r="185" spans="1:13" ht="15" customHeight="1" x14ac:dyDescent="0.25">
      <c r="A185" s="1" t="s">
        <v>128</v>
      </c>
      <c r="C185" s="72"/>
      <c r="E185" s="174"/>
      <c r="F185" s="174"/>
      <c r="G185" s="575"/>
    </row>
    <row r="186" spans="1:13" ht="15" customHeight="1" x14ac:dyDescent="0.25">
      <c r="A186" s="190" t="s">
        <v>494</v>
      </c>
      <c r="C186" s="72">
        <v>8695</v>
      </c>
      <c r="E186" s="174">
        <v>0</v>
      </c>
      <c r="F186" s="174"/>
      <c r="G186" s="575">
        <v>0</v>
      </c>
      <c r="I186" s="216">
        <v>0</v>
      </c>
    </row>
    <row r="187" spans="1:13" s="546" customFormat="1" ht="15" customHeight="1" x14ac:dyDescent="0.25">
      <c r="A187" s="416" t="s">
        <v>570</v>
      </c>
      <c r="C187" s="587">
        <v>0</v>
      </c>
      <c r="E187" s="587">
        <f>'Estimating Schedule - GF'!I183</f>
        <v>35100</v>
      </c>
      <c r="F187" s="589"/>
      <c r="G187" s="589">
        <v>0</v>
      </c>
      <c r="I187" s="417"/>
    </row>
    <row r="188" spans="1:13" s="546" customFormat="1" ht="15" customHeight="1" x14ac:dyDescent="0.25">
      <c r="A188" s="416" t="s">
        <v>571</v>
      </c>
      <c r="C188" s="587">
        <v>0</v>
      </c>
      <c r="E188" s="587">
        <f>'Estimating Schedule - GF'!I184</f>
        <v>11655</v>
      </c>
      <c r="F188" s="589"/>
      <c r="G188" s="589">
        <v>0</v>
      </c>
      <c r="I188" s="417"/>
    </row>
    <row r="189" spans="1:13" ht="15" customHeight="1" x14ac:dyDescent="0.25">
      <c r="A189" s="1" t="s">
        <v>146</v>
      </c>
      <c r="C189" s="254"/>
      <c r="E189" s="31"/>
      <c r="G189" s="575"/>
      <c r="I189" s="216"/>
    </row>
    <row r="190" spans="1:13" ht="15" customHeight="1" x14ac:dyDescent="0.25">
      <c r="A190" s="190" t="s">
        <v>495</v>
      </c>
      <c r="C190" s="254">
        <v>0</v>
      </c>
      <c r="E190" s="587">
        <f>'Estimating Schedule - GF'!I185</f>
        <v>63500</v>
      </c>
      <c r="G190" s="587">
        <v>100000</v>
      </c>
      <c r="I190" s="216">
        <v>0</v>
      </c>
    </row>
    <row r="191" spans="1:13" s="345" customFormat="1" ht="15" customHeight="1" x14ac:dyDescent="0.25">
      <c r="A191" s="344" t="s">
        <v>493</v>
      </c>
      <c r="C191" s="352"/>
      <c r="D191" s="347"/>
      <c r="E191" s="353"/>
      <c r="F191" s="347"/>
      <c r="G191" s="576"/>
      <c r="I191" s="350"/>
    </row>
    <row r="192" spans="1:13" s="459" customFormat="1" ht="15" customHeight="1" x14ac:dyDescent="0.25">
      <c r="A192" s="416" t="s">
        <v>575</v>
      </c>
      <c r="B192" s="463"/>
      <c r="C192" s="464"/>
      <c r="D192" s="465"/>
      <c r="E192" s="464">
        <v>0</v>
      </c>
      <c r="F192" s="465"/>
      <c r="G192" s="587">
        <v>15000</v>
      </c>
      <c r="H192" s="463"/>
      <c r="I192" s="466"/>
    </row>
    <row r="193" spans="1:10" ht="15" customHeight="1" x14ac:dyDescent="0.25">
      <c r="A193" s="351" t="s">
        <v>573</v>
      </c>
      <c r="C193" s="346">
        <v>7299</v>
      </c>
      <c r="D193" s="347"/>
      <c r="E193" s="348">
        <v>0</v>
      </c>
      <c r="F193" s="345"/>
      <c r="G193" s="349">
        <v>0</v>
      </c>
      <c r="H193" s="345"/>
      <c r="I193" s="350" t="e">
        <f t="shared" ref="I193" si="7">+G193/E193-1</f>
        <v>#DIV/0!</v>
      </c>
      <c r="J193" s="49"/>
    </row>
    <row r="194" spans="1:10" ht="17.25" customHeight="1" x14ac:dyDescent="0.4">
      <c r="A194" s="190" t="s">
        <v>574</v>
      </c>
      <c r="C194" s="253">
        <v>0</v>
      </c>
      <c r="D194" s="287"/>
      <c r="E194" s="172">
        <v>0</v>
      </c>
      <c r="F194" s="301"/>
      <c r="G194" s="172">
        <v>0</v>
      </c>
      <c r="I194" s="297">
        <v>0</v>
      </c>
    </row>
    <row r="195" spans="1:10" ht="17.25" customHeight="1" x14ac:dyDescent="0.4">
      <c r="A195" s="69" t="s">
        <v>276</v>
      </c>
      <c r="C195" s="75">
        <f>SUM(C186:C194)</f>
        <v>15994</v>
      </c>
      <c r="D195" s="4"/>
      <c r="E195" s="75">
        <f>SUM(E186:E194)</f>
        <v>110255</v>
      </c>
      <c r="F195" s="45">
        <f>SUM(F189:F190)</f>
        <v>0</v>
      </c>
      <c r="G195" s="588">
        <f>SUM(G186:G194)</f>
        <v>115000</v>
      </c>
      <c r="I195" s="297">
        <f>+G195/E195-1</f>
        <v>4.3036596979728836E-2</v>
      </c>
      <c r="J195" s="49"/>
    </row>
    <row r="196" spans="1:10" ht="9.9499999999999993" customHeight="1" x14ac:dyDescent="0.4">
      <c r="C196" s="75"/>
      <c r="D196" s="4"/>
      <c r="E196" s="45"/>
      <c r="F196" s="4"/>
      <c r="G196" s="45"/>
    </row>
    <row r="197" spans="1:10" ht="15" customHeight="1" x14ac:dyDescent="0.4">
      <c r="A197" s="2" t="s">
        <v>248</v>
      </c>
      <c r="C197" s="75"/>
      <c r="D197" s="4"/>
      <c r="E197" s="45"/>
      <c r="F197" s="4"/>
      <c r="G197" s="45"/>
    </row>
    <row r="198" spans="1:10" ht="15" customHeight="1" x14ac:dyDescent="0.25">
      <c r="A198" s="44" t="s">
        <v>249</v>
      </c>
      <c r="C198" s="73">
        <v>0</v>
      </c>
      <c r="D198" s="4"/>
      <c r="E198" s="36">
        <f>'Estimating Schedule - GF'!I189</f>
        <v>0</v>
      </c>
      <c r="F198" s="4"/>
      <c r="G198" s="589">
        <v>0</v>
      </c>
      <c r="I198" s="216">
        <v>0</v>
      </c>
    </row>
    <row r="199" spans="1:10" ht="17.25" customHeight="1" x14ac:dyDescent="0.4">
      <c r="A199" s="44" t="s">
        <v>250</v>
      </c>
      <c r="C199" s="128">
        <v>0</v>
      </c>
      <c r="D199" s="4"/>
      <c r="E199" s="128">
        <f>'Estimating Schedule - GF'!I190</f>
        <v>0</v>
      </c>
      <c r="F199" s="4"/>
      <c r="G199" s="172">
        <v>0</v>
      </c>
      <c r="I199" s="297">
        <v>0</v>
      </c>
    </row>
    <row r="200" spans="1:10" ht="17.25" customHeight="1" x14ac:dyDescent="0.4">
      <c r="A200" s="69" t="s">
        <v>251</v>
      </c>
      <c r="C200" s="75">
        <f>SUM(C198:C199)</f>
        <v>0</v>
      </c>
      <c r="D200" s="45">
        <f>SUM(D198:D199)</f>
        <v>0</v>
      </c>
      <c r="E200" s="45">
        <f>SUM(E198:E199)</f>
        <v>0</v>
      </c>
      <c r="F200" s="45">
        <f>SUM(F198:F199)</f>
        <v>0</v>
      </c>
      <c r="G200" s="172">
        <f>SUM(G198:G199)</f>
        <v>0</v>
      </c>
      <c r="I200" s="297">
        <v>0</v>
      </c>
    </row>
    <row r="201" spans="1:10" ht="17.25" customHeight="1" x14ac:dyDescent="0.4">
      <c r="A201" s="69" t="s">
        <v>277</v>
      </c>
      <c r="C201" s="141">
        <f>C117+C145+C182+C195+C200</f>
        <v>1200568</v>
      </c>
      <c r="D201" s="3"/>
      <c r="E201" s="141">
        <f>E117+E145+E182+E195+E200</f>
        <v>1224226</v>
      </c>
      <c r="F201" s="3"/>
      <c r="G201" s="141">
        <f>G117+G145+G182+G195+G200</f>
        <v>1235978</v>
      </c>
      <c r="H201" s="49"/>
      <c r="I201" s="297">
        <f>+G201/E201-1</f>
        <v>9.5995347264312691E-3</v>
      </c>
    </row>
    <row r="202" spans="1:10" x14ac:dyDescent="0.25">
      <c r="C202" s="72"/>
      <c r="E202" s="31"/>
      <c r="G202" s="31"/>
    </row>
    <row r="203" spans="1:10" x14ac:dyDescent="0.25">
      <c r="C203" s="72"/>
      <c r="E203" s="31"/>
      <c r="G203" s="31"/>
    </row>
  </sheetData>
  <mergeCells count="19">
    <mergeCell ref="A147:I147"/>
    <mergeCell ref="A148:I148"/>
    <mergeCell ref="A149:I149"/>
    <mergeCell ref="A150:I150"/>
    <mergeCell ref="C152:G152"/>
    <mergeCell ref="A2:I2"/>
    <mergeCell ref="A3:I3"/>
    <mergeCell ref="A4:I4"/>
    <mergeCell ref="C6:G6"/>
    <mergeCell ref="C94:G94"/>
    <mergeCell ref="A89:I89"/>
    <mergeCell ref="A90:I90"/>
    <mergeCell ref="A91:I91"/>
    <mergeCell ref="A92:I92"/>
    <mergeCell ref="A41:I41"/>
    <mergeCell ref="A42:I42"/>
    <mergeCell ref="A43:I43"/>
    <mergeCell ref="A44:I44"/>
    <mergeCell ref="C47:G47"/>
  </mergeCells>
  <phoneticPr fontId="0" type="noConversion"/>
  <pageMargins left="1" right="0.5" top="0.5" bottom="0.25" header="0.25" footer="0"/>
  <pageSetup scale="90" orientation="portrait" r:id="rId1"/>
  <headerFooter alignWithMargins="0">
    <oddFooter>&amp;L&amp;"Times New Roman,Regular"&amp;9&amp;D &amp;C&amp;"Times New Roman,Regular"&amp;9&amp;Z&amp;F&amp;R&amp;"Times New Roman,Regular"&amp;9&amp;A</oddFooter>
  </headerFooter>
  <rowBreaks count="3" manualBreakCount="3">
    <brk id="39" max="8" man="1"/>
    <brk id="87" max="8" man="1"/>
    <brk id="145"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tabColor rgb="FF7030A0"/>
  </sheetPr>
  <dimension ref="A1:Z62"/>
  <sheetViews>
    <sheetView view="pageBreakPreview" topLeftCell="A13" zoomScaleNormal="100" zoomScaleSheetLayoutView="100" workbookViewId="0">
      <selection activeCell="T43" sqref="T43"/>
    </sheetView>
  </sheetViews>
  <sheetFormatPr defaultColWidth="9.77734375" defaultRowHeight="15.75" x14ac:dyDescent="0.25"/>
  <cols>
    <col min="1" max="1" width="27.109375" style="82" customWidth="1"/>
    <col min="2" max="2" width="11" style="83" customWidth="1"/>
    <col min="3" max="3" width="0.33203125" style="83" customWidth="1"/>
    <col min="4" max="4" width="9.21875" style="83" bestFit="1" customWidth="1"/>
    <col min="5" max="5" width="0.5546875" style="83" customWidth="1"/>
    <col min="6" max="6" width="8.88671875" style="83" customWidth="1"/>
    <col min="7" max="7" width="0.44140625" style="83" customWidth="1"/>
    <col min="8" max="8" width="9.109375" style="83" customWidth="1"/>
    <col min="9" max="9" width="0.33203125" style="83" customWidth="1"/>
    <col min="10" max="10" width="10.21875" style="83" bestFit="1" customWidth="1"/>
    <col min="11" max="11" width="0.44140625" style="83" customWidth="1"/>
    <col min="12" max="12" width="8.88671875" style="83" bestFit="1" customWidth="1"/>
    <col min="13" max="13" width="0.44140625" style="83" customWidth="1"/>
    <col min="14" max="14" width="9" style="83" bestFit="1" customWidth="1"/>
    <col min="15" max="15" width="0.77734375" style="83" customWidth="1"/>
    <col min="16" max="16" width="9.21875" style="83" bestFit="1" customWidth="1"/>
    <col min="17" max="17" width="0.5546875" style="83" customWidth="1"/>
    <col min="18" max="18" width="9" style="83" customWidth="1"/>
    <col min="19" max="19" width="0.5546875" style="83" customWidth="1"/>
    <col min="20" max="20" width="8.44140625" style="83" customWidth="1"/>
    <col min="21" max="22" width="11.5546875" style="83" bestFit="1" customWidth="1"/>
    <col min="23" max="26" width="9.77734375" style="83"/>
    <col min="27" max="16384" width="9.77734375" style="1"/>
  </cols>
  <sheetData>
    <row r="1" spans="1:26" x14ac:dyDescent="0.25">
      <c r="R1" s="118"/>
      <c r="T1" s="118" t="s">
        <v>242</v>
      </c>
    </row>
    <row r="2" spans="1:26" x14ac:dyDescent="0.25">
      <c r="A2" s="628" t="s">
        <v>47</v>
      </c>
      <c r="B2" s="628"/>
      <c r="C2" s="628"/>
      <c r="D2" s="628"/>
      <c r="E2" s="628"/>
      <c r="F2" s="628"/>
      <c r="G2" s="628"/>
      <c r="H2" s="628"/>
      <c r="I2" s="628"/>
      <c r="J2" s="628"/>
      <c r="K2" s="628"/>
      <c r="L2" s="628"/>
      <c r="M2" s="628"/>
      <c r="N2" s="628"/>
      <c r="O2" s="628"/>
      <c r="P2" s="628"/>
      <c r="Q2" s="628"/>
      <c r="R2" s="628"/>
    </row>
    <row r="3" spans="1:26" x14ac:dyDescent="0.25">
      <c r="A3" s="628" t="s">
        <v>231</v>
      </c>
      <c r="B3" s="628"/>
      <c r="C3" s="628"/>
      <c r="D3" s="628"/>
      <c r="E3" s="628"/>
      <c r="F3" s="628"/>
      <c r="G3" s="628"/>
      <c r="H3" s="628"/>
      <c r="I3" s="628"/>
      <c r="J3" s="628"/>
      <c r="K3" s="628"/>
      <c r="L3" s="628"/>
      <c r="M3" s="628"/>
      <c r="N3" s="628"/>
      <c r="O3" s="628"/>
      <c r="P3" s="628"/>
      <c r="Q3" s="628"/>
      <c r="R3" s="628"/>
    </row>
    <row r="4" spans="1:26" x14ac:dyDescent="0.25">
      <c r="A4" s="628" t="s">
        <v>147</v>
      </c>
      <c r="B4" s="628"/>
      <c r="C4" s="628"/>
      <c r="D4" s="628"/>
      <c r="E4" s="628"/>
      <c r="F4" s="628"/>
      <c r="G4" s="628"/>
      <c r="H4" s="628"/>
      <c r="I4" s="628"/>
      <c r="J4" s="628"/>
      <c r="K4" s="628"/>
      <c r="L4" s="628"/>
      <c r="M4" s="628"/>
      <c r="N4" s="628"/>
      <c r="O4" s="628"/>
      <c r="P4" s="628"/>
      <c r="Q4" s="628"/>
      <c r="R4" s="628"/>
    </row>
    <row r="5" spans="1:26" x14ac:dyDescent="0.25">
      <c r="A5" s="628" t="str">
        <f>'General Fund'!A4:F4</f>
        <v>Year Ending September 30, 2019</v>
      </c>
      <c r="B5" s="628"/>
      <c r="C5" s="628"/>
      <c r="D5" s="628"/>
      <c r="E5" s="628"/>
      <c r="F5" s="628"/>
      <c r="G5" s="628"/>
      <c r="H5" s="628"/>
      <c r="I5" s="628"/>
      <c r="J5" s="628"/>
      <c r="K5" s="628"/>
      <c r="L5" s="628"/>
      <c r="M5" s="628"/>
      <c r="N5" s="628"/>
      <c r="O5" s="628"/>
      <c r="P5" s="628"/>
      <c r="Q5" s="628"/>
      <c r="R5" s="628"/>
    </row>
    <row r="8" spans="1:26" x14ac:dyDescent="0.25">
      <c r="B8" s="119" t="s">
        <v>278</v>
      </c>
      <c r="C8" s="120"/>
      <c r="D8" s="119"/>
      <c r="E8" s="120"/>
      <c r="F8" s="119"/>
      <c r="H8" s="119" t="s">
        <v>279</v>
      </c>
      <c r="I8" s="120"/>
      <c r="J8" s="119"/>
      <c r="K8" s="120"/>
      <c r="L8" s="119"/>
      <c r="N8" s="119"/>
      <c r="O8" s="120"/>
      <c r="P8" s="121" t="s">
        <v>53</v>
      </c>
      <c r="Q8" s="120"/>
      <c r="R8" s="119"/>
    </row>
    <row r="9" spans="1:26" x14ac:dyDescent="0.25">
      <c r="A9" s="82" t="s">
        <v>148</v>
      </c>
      <c r="B9" s="122">
        <v>2017</v>
      </c>
      <c r="C9" s="123"/>
      <c r="D9" s="122">
        <f>B9+1</f>
        <v>2018</v>
      </c>
      <c r="E9" s="123"/>
      <c r="F9" s="122">
        <f>D9+1</f>
        <v>2019</v>
      </c>
      <c r="G9" s="123"/>
      <c r="H9" s="122">
        <f>B9</f>
        <v>2017</v>
      </c>
      <c r="I9" s="123"/>
      <c r="J9" s="122">
        <f>D9</f>
        <v>2018</v>
      </c>
      <c r="K9" s="123"/>
      <c r="L9" s="122">
        <f>F9</f>
        <v>2019</v>
      </c>
      <c r="M9" s="123"/>
      <c r="N9" s="122">
        <f>B9</f>
        <v>2017</v>
      </c>
      <c r="O9" s="123"/>
      <c r="P9" s="122">
        <f>D9</f>
        <v>2018</v>
      </c>
      <c r="Q9" s="123"/>
      <c r="R9" s="122">
        <f>F9</f>
        <v>2019</v>
      </c>
    </row>
    <row r="10" spans="1:26" x14ac:dyDescent="0.25">
      <c r="B10" s="121" t="s">
        <v>83</v>
      </c>
      <c r="D10" s="121" t="s">
        <v>84</v>
      </c>
      <c r="F10" s="121" t="s">
        <v>85</v>
      </c>
      <c r="H10" s="121" t="s">
        <v>83</v>
      </c>
      <c r="J10" s="121" t="s">
        <v>84</v>
      </c>
      <c r="L10" s="121" t="s">
        <v>85</v>
      </c>
      <c r="N10" s="121" t="s">
        <v>83</v>
      </c>
      <c r="P10" s="121" t="s">
        <v>84</v>
      </c>
      <c r="R10" s="121" t="s">
        <v>85</v>
      </c>
    </row>
    <row r="11" spans="1:26" x14ac:dyDescent="0.25">
      <c r="A11" s="124" t="s">
        <v>0</v>
      </c>
      <c r="B11" s="72"/>
      <c r="D11" s="72"/>
      <c r="F11" s="72"/>
      <c r="H11" s="72"/>
      <c r="J11" s="72"/>
      <c r="L11" s="72"/>
      <c r="N11" s="72"/>
      <c r="P11" s="72"/>
      <c r="R11" s="72"/>
    </row>
    <row r="12" spans="1:26" x14ac:dyDescent="0.25">
      <c r="A12" s="82" t="s">
        <v>149</v>
      </c>
      <c r="B12" s="91">
        <v>284733</v>
      </c>
      <c r="C12" s="72"/>
      <c r="D12" s="91">
        <f>'Estimating Schedule - SRF'!G11</f>
        <v>284834</v>
      </c>
      <c r="E12" s="72"/>
      <c r="F12" s="577">
        <v>285000</v>
      </c>
      <c r="G12" s="72"/>
      <c r="H12" s="91">
        <v>348007</v>
      </c>
      <c r="I12" s="72"/>
      <c r="J12" s="91">
        <f>'Estimating Schedule - SRF'!M11</f>
        <v>348823</v>
      </c>
      <c r="K12" s="72"/>
      <c r="L12" s="579">
        <v>349000</v>
      </c>
      <c r="N12" s="91">
        <f>H12+B12</f>
        <v>632740</v>
      </c>
      <c r="O12" s="72"/>
      <c r="P12" s="91">
        <f>J12+D12</f>
        <v>633657</v>
      </c>
      <c r="Q12" s="72"/>
      <c r="R12" s="91">
        <f>L12+F12</f>
        <v>634000</v>
      </c>
      <c r="T12" s="217">
        <f>+R12/P12-1</f>
        <v>5.4130231339666324E-4</v>
      </c>
      <c r="U12" s="108"/>
      <c r="V12" s="108"/>
      <c r="W12" s="108"/>
    </row>
    <row r="13" spans="1:26" s="546" customFormat="1" x14ac:dyDescent="0.25">
      <c r="A13" s="598" t="s">
        <v>562</v>
      </c>
      <c r="B13" s="587">
        <v>0</v>
      </c>
      <c r="C13" s="587"/>
      <c r="D13" s="587">
        <v>0</v>
      </c>
      <c r="E13" s="587"/>
      <c r="F13" s="587">
        <v>0</v>
      </c>
      <c r="G13" s="587"/>
      <c r="H13" s="587">
        <v>31955</v>
      </c>
      <c r="I13" s="587"/>
      <c r="J13" s="587">
        <f>'Estimating Schedule - SRF'!M12</f>
        <v>40250</v>
      </c>
      <c r="K13" s="587"/>
      <c r="L13" s="587">
        <v>0</v>
      </c>
      <c r="M13" s="414"/>
      <c r="N13" s="587">
        <f>H13+B13</f>
        <v>31955</v>
      </c>
      <c r="O13" s="587"/>
      <c r="P13" s="587">
        <f>J13+D13</f>
        <v>40250</v>
      </c>
      <c r="Q13" s="587"/>
      <c r="R13" s="587">
        <f>L13+F13</f>
        <v>0</v>
      </c>
      <c r="S13" s="414"/>
      <c r="T13" s="217">
        <f>+R13/P13-1</f>
        <v>-1</v>
      </c>
      <c r="U13" s="108"/>
      <c r="V13" s="108"/>
      <c r="W13" s="108"/>
      <c r="X13" s="414"/>
      <c r="Y13" s="414"/>
      <c r="Z13" s="414"/>
    </row>
    <row r="14" spans="1:26" ht="18" x14ac:dyDescent="0.4">
      <c r="A14" s="82" t="s">
        <v>292</v>
      </c>
      <c r="B14" s="75">
        <v>0</v>
      </c>
      <c r="C14" s="72"/>
      <c r="D14" s="75">
        <f>'Estimating Schedule - SRF'!G13</f>
        <v>0</v>
      </c>
      <c r="E14" s="172"/>
      <c r="F14" s="578">
        <v>0</v>
      </c>
      <c r="G14" s="72"/>
      <c r="H14" s="75">
        <v>20</v>
      </c>
      <c r="I14" s="72"/>
      <c r="J14" s="75">
        <f>'Estimating Schedule - SRF'!M13</f>
        <v>14</v>
      </c>
      <c r="K14" s="182"/>
      <c r="L14" s="580">
        <v>15</v>
      </c>
      <c r="N14" s="75">
        <f>H14+B14</f>
        <v>20</v>
      </c>
      <c r="O14" s="72"/>
      <c r="P14" s="75">
        <f>J14+D14</f>
        <v>14</v>
      </c>
      <c r="Q14" s="182"/>
      <c r="R14" s="588">
        <f>L14+F14</f>
        <v>15</v>
      </c>
      <c r="T14" s="340">
        <f>+R14/P14-1</f>
        <v>7.1428571428571397E-2</v>
      </c>
    </row>
    <row r="15" spans="1:26" ht="18" x14ac:dyDescent="0.4">
      <c r="A15" s="82" t="s">
        <v>100</v>
      </c>
      <c r="B15" s="75">
        <f>SUM(B12:B14)</f>
        <v>284733</v>
      </c>
      <c r="C15" s="72"/>
      <c r="D15" s="75">
        <f>SUM(D12:D14)</f>
        <v>284834</v>
      </c>
      <c r="E15" s="72"/>
      <c r="F15" s="75">
        <f>SUM(F12:F14)</f>
        <v>285000</v>
      </c>
      <c r="G15" s="72"/>
      <c r="H15" s="75">
        <f>SUM(H12:H14)</f>
        <v>379982</v>
      </c>
      <c r="I15" s="72"/>
      <c r="J15" s="75">
        <f>SUM(J12:J14)</f>
        <v>389087</v>
      </c>
      <c r="K15" s="72"/>
      <c r="L15" s="75">
        <f>SUM(L12:L14)</f>
        <v>349015</v>
      </c>
      <c r="N15" s="75">
        <f>SUM(N12:N14)</f>
        <v>664715</v>
      </c>
      <c r="O15" s="72"/>
      <c r="P15" s="75">
        <f>SUM(P12:P14)</f>
        <v>673921</v>
      </c>
      <c r="Q15" s="72"/>
      <c r="R15" s="75">
        <f>SUM(R12:R14)</f>
        <v>634015</v>
      </c>
      <c r="T15" s="340">
        <f>+R15/P15-1</f>
        <v>-5.9214655723742071E-2</v>
      </c>
    </row>
    <row r="16" spans="1:26" ht="7.5" customHeight="1" x14ac:dyDescent="0.25"/>
    <row r="17" spans="1:26" x14ac:dyDescent="0.25">
      <c r="A17" s="124" t="s">
        <v>7</v>
      </c>
      <c r="B17" s="72"/>
      <c r="C17" s="72"/>
      <c r="D17" s="72"/>
      <c r="E17" s="72"/>
      <c r="F17" s="72"/>
      <c r="G17" s="72"/>
      <c r="H17" s="72"/>
      <c r="I17" s="72"/>
      <c r="J17" s="72"/>
      <c r="K17" s="72"/>
      <c r="L17" s="72"/>
      <c r="N17" s="72"/>
      <c r="O17" s="72"/>
      <c r="P17" s="72"/>
      <c r="Q17" s="72"/>
      <c r="R17" s="72"/>
    </row>
    <row r="18" spans="1:26" x14ac:dyDescent="0.25">
      <c r="A18" s="82" t="s">
        <v>128</v>
      </c>
      <c r="B18" s="72"/>
      <c r="D18" s="72"/>
      <c r="F18" s="72" t="s">
        <v>19</v>
      </c>
      <c r="H18" s="72"/>
      <c r="J18" s="72" t="s">
        <v>19</v>
      </c>
      <c r="L18" s="72" t="s">
        <v>19</v>
      </c>
      <c r="N18" s="72"/>
      <c r="P18" s="72"/>
      <c r="R18" s="72"/>
    </row>
    <row r="19" spans="1:26" x14ac:dyDescent="0.25">
      <c r="A19" s="82" t="s">
        <v>133</v>
      </c>
      <c r="B19" s="72">
        <v>10285</v>
      </c>
      <c r="D19" s="72">
        <f>'Estimating Schedule - SRF'!G18</f>
        <v>11755</v>
      </c>
      <c r="F19" s="581">
        <v>11800</v>
      </c>
      <c r="G19" s="72"/>
      <c r="H19" s="72">
        <v>10395</v>
      </c>
      <c r="J19" s="72">
        <f>'Estimating Schedule - SRF'!M18</f>
        <v>11845</v>
      </c>
      <c r="L19" s="583">
        <v>12000</v>
      </c>
      <c r="N19" s="72">
        <f>H19+B19</f>
        <v>20680</v>
      </c>
      <c r="P19" s="72">
        <f>J19+D19</f>
        <v>23600</v>
      </c>
      <c r="R19" s="72">
        <f>F19+L19</f>
        <v>23800</v>
      </c>
      <c r="T19" s="217">
        <f>+R19/P19-1</f>
        <v>8.4745762711864181E-3</v>
      </c>
      <c r="U19" s="108"/>
      <c r="V19" s="108"/>
      <c r="W19" s="255"/>
    </row>
    <row r="20" spans="1:26" ht="18" x14ac:dyDescent="0.4">
      <c r="A20" s="82" t="s">
        <v>150</v>
      </c>
      <c r="B20" s="75">
        <v>2829</v>
      </c>
      <c r="D20" s="75">
        <f>'Estimating Schedule - SRF'!G19</f>
        <v>5682</v>
      </c>
      <c r="F20" s="582">
        <v>5500</v>
      </c>
      <c r="H20" s="75">
        <v>3457</v>
      </c>
      <c r="J20" s="75">
        <f>'Estimating Schedule - SRF'!M19</f>
        <v>0</v>
      </c>
      <c r="K20" s="172"/>
      <c r="L20" s="584">
        <v>0</v>
      </c>
      <c r="N20" s="75">
        <f>H20+B20</f>
        <v>6286</v>
      </c>
      <c r="P20" s="75">
        <f>J20+D20</f>
        <v>5682</v>
      </c>
      <c r="R20" s="75">
        <f>L20+F20</f>
        <v>5500</v>
      </c>
      <c r="T20" s="340">
        <f>+R20/P20-1</f>
        <v>-3.20309750087997E-2</v>
      </c>
      <c r="U20" s="108"/>
      <c r="V20" s="108"/>
    </row>
    <row r="21" spans="1:26" ht="18" x14ac:dyDescent="0.4">
      <c r="A21" s="82" t="s">
        <v>139</v>
      </c>
      <c r="B21" s="75">
        <f>SUM(B19:B20)</f>
        <v>13114</v>
      </c>
      <c r="D21" s="75">
        <f>SUM(D19:D20)</f>
        <v>17437</v>
      </c>
      <c r="F21" s="75">
        <f>SUM(F19:F20)</f>
        <v>17300</v>
      </c>
      <c r="G21" s="72"/>
      <c r="H21" s="75">
        <f>SUM(H19:H20)</f>
        <v>13852</v>
      </c>
      <c r="J21" s="75">
        <f>SUM(J19:J20)</f>
        <v>11845</v>
      </c>
      <c r="L21" s="75">
        <f>SUM(L19:L20)</f>
        <v>12000</v>
      </c>
      <c r="N21" s="75">
        <f>SUM(N19:N20)</f>
        <v>26966</v>
      </c>
      <c r="P21" s="75">
        <f>SUM(P19:P20)</f>
        <v>29282</v>
      </c>
      <c r="R21" s="75">
        <f>SUM(R19:R20)</f>
        <v>29300</v>
      </c>
      <c r="T21" s="340">
        <f>+R21/P21-1</f>
        <v>6.147121098285524E-4</v>
      </c>
      <c r="U21" s="147"/>
      <c r="V21" s="108"/>
    </row>
    <row r="22" spans="1:26" ht="7.5" customHeight="1" x14ac:dyDescent="0.25">
      <c r="B22" s="72"/>
      <c r="D22" s="72"/>
      <c r="F22" s="72"/>
      <c r="H22" s="72"/>
      <c r="J22" s="72"/>
      <c r="L22" s="72"/>
      <c r="N22" s="72"/>
      <c r="P22" s="72"/>
      <c r="R22" s="72"/>
    </row>
    <row r="23" spans="1:26" x14ac:dyDescent="0.25">
      <c r="A23" s="130" t="s">
        <v>519</v>
      </c>
      <c r="B23" s="72"/>
      <c r="D23" s="72"/>
      <c r="F23" s="72"/>
      <c r="H23" s="72"/>
      <c r="J23" s="72"/>
      <c r="L23" s="72"/>
      <c r="N23" s="72"/>
      <c r="P23" s="72"/>
      <c r="R23" s="72"/>
      <c r="V23" s="147"/>
    </row>
    <row r="24" spans="1:26" x14ac:dyDescent="0.25">
      <c r="A24" s="294" t="s">
        <v>260</v>
      </c>
      <c r="B24" s="72">
        <v>140177</v>
      </c>
      <c r="D24" s="72">
        <f>'Estimating Schedule - SRF'!G23</f>
        <v>132660</v>
      </c>
      <c r="F24" s="585">
        <v>132700</v>
      </c>
      <c r="G24" s="72"/>
      <c r="H24" s="174">
        <v>0</v>
      </c>
      <c r="I24" s="174"/>
      <c r="J24" s="174">
        <f>'Estimating Schedule - SRF'!M23</f>
        <v>0</v>
      </c>
      <c r="K24" s="174"/>
      <c r="L24" s="587">
        <v>0</v>
      </c>
      <c r="N24" s="72">
        <f t="shared" ref="N24:N32" si="0">H24+B24</f>
        <v>140177</v>
      </c>
      <c r="P24" s="72">
        <f>J24+D24</f>
        <v>132660</v>
      </c>
      <c r="R24" s="72">
        <f>L24+F24</f>
        <v>132700</v>
      </c>
      <c r="T24" s="217">
        <f t="shared" ref="T24:T33" si="1">+R24/P24-1</f>
        <v>3.015226895823897E-4</v>
      </c>
      <c r="V24" s="147"/>
    </row>
    <row r="25" spans="1:26" s="546" customFormat="1" x14ac:dyDescent="0.25">
      <c r="A25" s="294" t="s">
        <v>504</v>
      </c>
      <c r="B25" s="587">
        <v>0</v>
      </c>
      <c r="C25" s="414"/>
      <c r="D25" s="587">
        <v>0</v>
      </c>
      <c r="E25" s="414"/>
      <c r="F25" s="587">
        <v>3120</v>
      </c>
      <c r="G25" s="587"/>
      <c r="H25" s="589">
        <v>0</v>
      </c>
      <c r="I25" s="589"/>
      <c r="J25" s="589"/>
      <c r="K25" s="589"/>
      <c r="L25" s="587"/>
      <c r="M25" s="414"/>
      <c r="N25" s="587">
        <f t="shared" ref="N25" si="2">H25+B25</f>
        <v>0</v>
      </c>
      <c r="O25" s="414"/>
      <c r="P25" s="587">
        <f>J25+D25</f>
        <v>0</v>
      </c>
      <c r="Q25" s="414"/>
      <c r="R25" s="587">
        <f>L25+F25</f>
        <v>3120</v>
      </c>
      <c r="S25" s="414"/>
      <c r="T25" s="217">
        <v>1</v>
      </c>
      <c r="U25" s="414"/>
      <c r="V25" s="147"/>
      <c r="W25" s="414"/>
      <c r="X25" s="414"/>
      <c r="Y25" s="414"/>
      <c r="Z25" s="414"/>
    </row>
    <row r="26" spans="1:26" x14ac:dyDescent="0.25">
      <c r="A26" s="294" t="s">
        <v>261</v>
      </c>
      <c r="B26" s="72">
        <v>10602</v>
      </c>
      <c r="D26" s="72">
        <f>'Estimating Schedule - SRF'!G25</f>
        <v>9933</v>
      </c>
      <c r="F26" s="585">
        <v>9650</v>
      </c>
      <c r="H26" s="174">
        <v>0</v>
      </c>
      <c r="I26" s="174"/>
      <c r="J26" s="174">
        <f>'Estimating Schedule - SRF'!M25</f>
        <v>0</v>
      </c>
      <c r="K26" s="174"/>
      <c r="L26" s="587">
        <v>0</v>
      </c>
      <c r="N26" s="72">
        <f t="shared" si="0"/>
        <v>10602</v>
      </c>
      <c r="P26" s="72">
        <f t="shared" ref="P26:R32" si="3">J26+D26</f>
        <v>9933</v>
      </c>
      <c r="R26" s="72">
        <f t="shared" si="3"/>
        <v>9650</v>
      </c>
      <c r="T26" s="217">
        <f t="shared" si="1"/>
        <v>-2.8490888956005267E-2</v>
      </c>
    </row>
    <row r="27" spans="1:26" x14ac:dyDescent="0.25">
      <c r="A27" s="294" t="s">
        <v>262</v>
      </c>
      <c r="B27" s="72">
        <v>38902</v>
      </c>
      <c r="D27" s="72">
        <f>'Estimating Schedule - SRF'!G26</f>
        <v>39610</v>
      </c>
      <c r="F27" s="585">
        <v>39610</v>
      </c>
      <c r="H27" s="174">
        <v>0</v>
      </c>
      <c r="I27" s="174"/>
      <c r="J27" s="174">
        <f>'Estimating Schedule - SRF'!M26</f>
        <v>0</v>
      </c>
      <c r="K27" s="174"/>
      <c r="L27" s="587">
        <v>0</v>
      </c>
      <c r="N27" s="72">
        <f t="shared" si="0"/>
        <v>38902</v>
      </c>
      <c r="P27" s="72">
        <f t="shared" si="3"/>
        <v>39610</v>
      </c>
      <c r="R27" s="72">
        <f t="shared" si="3"/>
        <v>39610</v>
      </c>
      <c r="T27" s="217">
        <f t="shared" si="1"/>
        <v>0</v>
      </c>
      <c r="V27" s="108"/>
    </row>
    <row r="28" spans="1:26" x14ac:dyDescent="0.25">
      <c r="A28" s="293" t="s">
        <v>520</v>
      </c>
      <c r="B28" s="587">
        <v>6816</v>
      </c>
      <c r="D28" s="72">
        <f>'Estimating Schedule - SRF'!G27</f>
        <v>6837</v>
      </c>
      <c r="F28" s="585">
        <v>6900</v>
      </c>
      <c r="H28" s="174">
        <v>0</v>
      </c>
      <c r="I28" s="174"/>
      <c r="J28" s="174"/>
      <c r="K28" s="174"/>
      <c r="L28" s="589">
        <v>0</v>
      </c>
      <c r="N28" s="587">
        <f t="shared" si="0"/>
        <v>6816</v>
      </c>
      <c r="P28" s="72">
        <f t="shared" si="3"/>
        <v>6837</v>
      </c>
      <c r="R28" s="72">
        <f t="shared" si="3"/>
        <v>6900</v>
      </c>
      <c r="T28" s="217">
        <f t="shared" si="1"/>
        <v>9.2145677928916481E-3</v>
      </c>
    </row>
    <row r="29" spans="1:26" x14ac:dyDescent="0.25">
      <c r="A29" s="293" t="s">
        <v>521</v>
      </c>
      <c r="B29" s="72">
        <v>25081</v>
      </c>
      <c r="D29" s="72">
        <f>'Estimating Schedule - SRF'!G28</f>
        <v>44419</v>
      </c>
      <c r="F29" s="585">
        <v>25000</v>
      </c>
      <c r="H29" s="174">
        <v>0</v>
      </c>
      <c r="I29" s="174"/>
      <c r="J29" s="174">
        <v>0</v>
      </c>
      <c r="K29" s="174"/>
      <c r="L29" s="587">
        <v>0</v>
      </c>
      <c r="N29" s="72" t="s">
        <v>19</v>
      </c>
      <c r="P29" s="72">
        <f t="shared" si="3"/>
        <v>44419</v>
      </c>
      <c r="R29" s="72">
        <f t="shared" si="3"/>
        <v>25000</v>
      </c>
      <c r="T29" s="217">
        <f t="shared" si="1"/>
        <v>-0.43717778428150111</v>
      </c>
    </row>
    <row r="30" spans="1:26" x14ac:dyDescent="0.25">
      <c r="A30" s="293" t="s">
        <v>522</v>
      </c>
      <c r="B30" s="72">
        <f>9101+10099</f>
        <v>19200</v>
      </c>
      <c r="D30" s="72">
        <f>'Estimating Schedule - SRF'!G29</f>
        <v>19387</v>
      </c>
      <c r="F30" s="585">
        <v>19000</v>
      </c>
      <c r="H30" s="254">
        <v>38255</v>
      </c>
      <c r="I30" s="174"/>
      <c r="J30" s="587">
        <f>'Estimating Schedule - SRF'!M29</f>
        <v>30250</v>
      </c>
      <c r="K30" s="174"/>
      <c r="L30" s="587">
        <v>30000</v>
      </c>
      <c r="N30" s="72">
        <f t="shared" si="0"/>
        <v>57455</v>
      </c>
      <c r="P30" s="72">
        <f t="shared" si="3"/>
        <v>49637</v>
      </c>
      <c r="R30" s="72">
        <f t="shared" si="3"/>
        <v>49000</v>
      </c>
      <c r="T30" s="217">
        <f t="shared" si="1"/>
        <v>-1.2833168805528095E-2</v>
      </c>
    </row>
    <row r="31" spans="1:26" x14ac:dyDescent="0.25">
      <c r="A31" s="294" t="s">
        <v>271</v>
      </c>
      <c r="B31" s="72">
        <v>8222</v>
      </c>
      <c r="D31" s="72">
        <f>'Estimating Schedule - SRF'!G30</f>
        <v>7905</v>
      </c>
      <c r="F31" s="585">
        <v>8000</v>
      </c>
      <c r="H31" s="174">
        <v>0</v>
      </c>
      <c r="I31" s="174"/>
      <c r="J31" s="174">
        <f>'Estimating Schedule - SRF'!M30</f>
        <v>0</v>
      </c>
      <c r="K31" s="174"/>
      <c r="L31" s="587">
        <v>0</v>
      </c>
      <c r="N31" s="72">
        <f t="shared" si="0"/>
        <v>8222</v>
      </c>
      <c r="P31" s="72">
        <f t="shared" si="3"/>
        <v>7905</v>
      </c>
      <c r="R31" s="72">
        <f t="shared" si="3"/>
        <v>8000</v>
      </c>
      <c r="T31" s="217">
        <f t="shared" si="1"/>
        <v>1.2017710309930374E-2</v>
      </c>
    </row>
    <row r="32" spans="1:26" ht="18" x14ac:dyDescent="0.4">
      <c r="A32" s="294" t="s">
        <v>523</v>
      </c>
      <c r="B32" s="522">
        <v>0</v>
      </c>
      <c r="D32" s="172">
        <f>'Estimating Schedule - SRF'!G31</f>
        <v>0</v>
      </c>
      <c r="E32" s="172"/>
      <c r="F32" s="586">
        <v>0</v>
      </c>
      <c r="H32" s="75">
        <v>34706</v>
      </c>
      <c r="J32" s="75">
        <f>'Estimating Schedule - SRF'!M31</f>
        <v>33936</v>
      </c>
      <c r="L32" s="588">
        <v>34000</v>
      </c>
      <c r="N32" s="75">
        <f t="shared" si="0"/>
        <v>34706</v>
      </c>
      <c r="P32" s="75">
        <f t="shared" si="3"/>
        <v>33936</v>
      </c>
      <c r="R32" s="75">
        <f t="shared" si="3"/>
        <v>34000</v>
      </c>
      <c r="T32" s="340">
        <f t="shared" si="1"/>
        <v>1.885902876001877E-3</v>
      </c>
    </row>
    <row r="33" spans="1:26" ht="18" x14ac:dyDescent="0.4">
      <c r="A33" s="592" t="s">
        <v>524</v>
      </c>
      <c r="B33" s="75">
        <f>SUM(B24:B32)</f>
        <v>249000</v>
      </c>
      <c r="D33" s="75">
        <f>SUM(D24:D32)</f>
        <v>260751</v>
      </c>
      <c r="F33" s="75">
        <f>SUM(F24:F32)</f>
        <v>243980</v>
      </c>
      <c r="G33" s="72"/>
      <c r="H33" s="75">
        <f>SUM(H24:H32)</f>
        <v>72961</v>
      </c>
      <c r="J33" s="75">
        <f>SUM(J24:J32)</f>
        <v>64186</v>
      </c>
      <c r="L33" s="75">
        <f>SUM(L24:L32)</f>
        <v>64000</v>
      </c>
      <c r="N33" s="75">
        <f>SUM(N24:N32)</f>
        <v>296880</v>
      </c>
      <c r="P33" s="75">
        <f>SUM(P24:P32)</f>
        <v>324937</v>
      </c>
      <c r="R33" s="75">
        <f>SUM(R24:R32)</f>
        <v>307980</v>
      </c>
      <c r="T33" s="340">
        <f t="shared" si="1"/>
        <v>-5.2185500573957433E-2</v>
      </c>
    </row>
    <row r="34" spans="1:26" ht="7.5" customHeight="1" x14ac:dyDescent="0.25">
      <c r="B34" s="72"/>
      <c r="D34" s="72"/>
      <c r="F34" s="72"/>
      <c r="H34" s="72"/>
      <c r="J34" s="72"/>
      <c r="L34" s="72"/>
      <c r="N34" s="72"/>
      <c r="P34" s="72"/>
      <c r="R34" s="72"/>
    </row>
    <row r="35" spans="1:26" x14ac:dyDescent="0.25">
      <c r="A35" s="82" t="s">
        <v>11</v>
      </c>
    </row>
    <row r="36" spans="1:26" ht="18" x14ac:dyDescent="0.4">
      <c r="A36" s="82" t="s">
        <v>152</v>
      </c>
      <c r="B36" s="125">
        <v>15520</v>
      </c>
      <c r="D36" s="75">
        <f>'Estimating Schedule - SRF'!G35</f>
        <v>19222</v>
      </c>
      <c r="F36" s="253">
        <v>17500</v>
      </c>
      <c r="H36" s="253">
        <v>0</v>
      </c>
      <c r="I36" s="172"/>
      <c r="J36" s="172">
        <f>'Estimating Schedule - SRF'!M35</f>
        <v>0</v>
      </c>
      <c r="K36" s="172"/>
      <c r="L36" s="172">
        <v>0</v>
      </c>
      <c r="N36" s="75">
        <f>H36+B36</f>
        <v>15520</v>
      </c>
      <c r="P36" s="75">
        <f>J36+D36</f>
        <v>19222</v>
      </c>
      <c r="R36" s="253">
        <f>L36+F36</f>
        <v>17500</v>
      </c>
      <c r="T36" s="340">
        <f>+R36/P36-1</f>
        <v>-8.9584850691915463E-2</v>
      </c>
    </row>
    <row r="37" spans="1:26" ht="7.5" customHeight="1" x14ac:dyDescent="0.25"/>
    <row r="38" spans="1:26" x14ac:dyDescent="0.25">
      <c r="A38" s="82" t="s">
        <v>169</v>
      </c>
    </row>
    <row r="39" spans="1:26" ht="18" x14ac:dyDescent="0.4">
      <c r="A39" s="294" t="s">
        <v>561</v>
      </c>
      <c r="B39" s="252">
        <v>3500</v>
      </c>
      <c r="C39" s="251"/>
      <c r="D39" s="252">
        <f>'Estimating Schedule - SRF'!G38</f>
        <v>0</v>
      </c>
      <c r="E39" s="163"/>
      <c r="F39" s="252">
        <v>15000</v>
      </c>
      <c r="G39" s="251"/>
      <c r="H39" s="173">
        <v>0</v>
      </c>
      <c r="I39" s="251"/>
      <c r="J39" s="252">
        <v>0</v>
      </c>
      <c r="K39" s="251"/>
      <c r="L39" s="296">
        <v>0</v>
      </c>
      <c r="M39" s="251"/>
      <c r="N39" s="252">
        <f>H39+B39</f>
        <v>3500</v>
      </c>
      <c r="O39" s="163"/>
      <c r="P39" s="252">
        <f>J39+D39</f>
        <v>0</v>
      </c>
      <c r="Q39" s="163"/>
      <c r="R39" s="296">
        <f>L39+F39</f>
        <v>15000</v>
      </c>
      <c r="S39" s="173"/>
      <c r="T39" s="217">
        <v>0</v>
      </c>
      <c r="U39" s="173"/>
      <c r="V39" s="173"/>
    </row>
    <row r="40" spans="1:26" s="546" customFormat="1" ht="18" x14ac:dyDescent="0.4">
      <c r="A40" s="294" t="s">
        <v>594</v>
      </c>
      <c r="B40" s="252">
        <v>0</v>
      </c>
      <c r="C40" s="251"/>
      <c r="D40" s="252">
        <v>0</v>
      </c>
      <c r="E40" s="163"/>
      <c r="F40" s="252">
        <v>30000</v>
      </c>
      <c r="G40" s="251"/>
      <c r="H40" s="173">
        <v>0</v>
      </c>
      <c r="I40" s="251"/>
      <c r="J40" s="252">
        <v>0</v>
      </c>
      <c r="K40" s="251"/>
      <c r="L40" s="296">
        <v>0</v>
      </c>
      <c r="M40" s="251"/>
      <c r="N40" s="252">
        <f>H40+B40</f>
        <v>0</v>
      </c>
      <c r="O40" s="163"/>
      <c r="P40" s="252">
        <f>J40+D40</f>
        <v>0</v>
      </c>
      <c r="Q40" s="163"/>
      <c r="R40" s="296">
        <f>L40+F40</f>
        <v>30000</v>
      </c>
      <c r="S40" s="173"/>
      <c r="T40" s="340">
        <v>1</v>
      </c>
      <c r="U40" s="173"/>
      <c r="V40" s="173"/>
      <c r="W40" s="414"/>
      <c r="X40" s="414"/>
      <c r="Y40" s="414"/>
      <c r="Z40" s="414"/>
    </row>
    <row r="41" spans="1:26" ht="18" customHeight="1" x14ac:dyDescent="0.4">
      <c r="A41" s="294" t="s">
        <v>461</v>
      </c>
      <c r="B41" s="295">
        <v>0</v>
      </c>
      <c r="C41" s="251"/>
      <c r="D41" s="295">
        <f>'Estimating Schedule - SRF'!G39</f>
        <v>0</v>
      </c>
      <c r="E41" s="163"/>
      <c r="F41" s="251">
        <v>0</v>
      </c>
      <c r="G41" s="251"/>
      <c r="H41" s="295">
        <v>0</v>
      </c>
      <c r="I41" s="251"/>
      <c r="J41" s="295">
        <f>'Estimating Schedule - SRF'!M39</f>
        <v>0</v>
      </c>
      <c r="K41" s="251"/>
      <c r="L41" s="253">
        <v>0</v>
      </c>
      <c r="M41" s="251"/>
      <c r="N41" s="295">
        <f t="shared" ref="N41" si="4">H41+B41</f>
        <v>0</v>
      </c>
      <c r="O41" s="163"/>
      <c r="P41" s="295">
        <f>J41+D41</f>
        <v>0</v>
      </c>
      <c r="Q41" s="163"/>
      <c r="R41" s="253">
        <f>L41+F41</f>
        <v>0</v>
      </c>
      <c r="S41" s="173"/>
      <c r="T41" s="340">
        <v>0</v>
      </c>
      <c r="U41" s="173"/>
      <c r="V41" s="173"/>
    </row>
    <row r="42" spans="1:26" ht="18" x14ac:dyDescent="0.4">
      <c r="A42" s="130" t="s">
        <v>153</v>
      </c>
      <c r="B42" s="253">
        <f t="shared" ref="B42:S42" si="5">SUM(B39:B41)</f>
        <v>3500</v>
      </c>
      <c r="C42" s="253">
        <f t="shared" si="5"/>
        <v>0</v>
      </c>
      <c r="D42" s="253">
        <f t="shared" si="5"/>
        <v>0</v>
      </c>
      <c r="E42" s="253">
        <f t="shared" si="5"/>
        <v>0</v>
      </c>
      <c r="F42" s="253">
        <f t="shared" si="5"/>
        <v>45000</v>
      </c>
      <c r="G42" s="253">
        <f t="shared" si="5"/>
        <v>0</v>
      </c>
      <c r="H42" s="253">
        <f t="shared" si="5"/>
        <v>0</v>
      </c>
      <c r="I42" s="253">
        <f t="shared" si="5"/>
        <v>0</v>
      </c>
      <c r="J42" s="253">
        <f t="shared" si="5"/>
        <v>0</v>
      </c>
      <c r="K42" s="253">
        <f t="shared" si="5"/>
        <v>0</v>
      </c>
      <c r="L42" s="253">
        <f t="shared" si="5"/>
        <v>0</v>
      </c>
      <c r="M42" s="253">
        <f t="shared" si="5"/>
        <v>0</v>
      </c>
      <c r="N42" s="253">
        <f t="shared" si="5"/>
        <v>3500</v>
      </c>
      <c r="O42" s="253">
        <f t="shared" si="5"/>
        <v>0</v>
      </c>
      <c r="P42" s="253">
        <f t="shared" si="5"/>
        <v>0</v>
      </c>
      <c r="Q42" s="253">
        <f t="shared" si="5"/>
        <v>0</v>
      </c>
      <c r="R42" s="253">
        <f t="shared" si="5"/>
        <v>45000</v>
      </c>
      <c r="S42" s="253">
        <f t="shared" si="5"/>
        <v>0</v>
      </c>
      <c r="T42" s="340">
        <v>1</v>
      </c>
    </row>
    <row r="43" spans="1:26" ht="7.5" customHeight="1" x14ac:dyDescent="0.4">
      <c r="B43" s="75"/>
      <c r="D43" s="75"/>
      <c r="F43" s="75"/>
      <c r="H43" s="75"/>
      <c r="J43" s="75"/>
      <c r="L43" s="75"/>
      <c r="N43" s="75"/>
      <c r="P43" s="75"/>
      <c r="R43" s="75"/>
    </row>
    <row r="44" spans="1:26" ht="18" x14ac:dyDescent="0.4">
      <c r="A44" s="82" t="s">
        <v>14</v>
      </c>
      <c r="B44" s="75">
        <f>B21+B33+B36+B42</f>
        <v>281134</v>
      </c>
      <c r="D44" s="75">
        <f>D21+D33+D36+D42</f>
        <v>297410</v>
      </c>
      <c r="F44" s="75">
        <f>F21+F33+F36+F42</f>
        <v>323780</v>
      </c>
      <c r="G44" s="72"/>
      <c r="H44" s="75">
        <f>H21+H33+H36+H42</f>
        <v>86813</v>
      </c>
      <c r="J44" s="75">
        <f>J21+J33+J36+J42</f>
        <v>76031</v>
      </c>
      <c r="L44" s="75">
        <f>L21+L33+L36+L42</f>
        <v>76000</v>
      </c>
      <c r="N44" s="75">
        <f>N21+N33+N36+N42</f>
        <v>342866</v>
      </c>
      <c r="P44" s="75">
        <f>P21+P33+P36+P42</f>
        <v>373441</v>
      </c>
      <c r="R44" s="75">
        <f>R21+R33+R36+R42</f>
        <v>399780</v>
      </c>
      <c r="T44" s="340">
        <f>+R44/P44-1</f>
        <v>7.0530552349634901E-2</v>
      </c>
    </row>
    <row r="45" spans="1:26" ht="7.5" customHeight="1" x14ac:dyDescent="0.25">
      <c r="B45" s="72"/>
      <c r="D45" s="72"/>
      <c r="F45" s="72"/>
      <c r="H45" s="72"/>
      <c r="J45" s="72"/>
      <c r="L45" s="72"/>
      <c r="N45" s="72"/>
      <c r="P45" s="72"/>
      <c r="R45" s="72"/>
    </row>
    <row r="46" spans="1:26" x14ac:dyDescent="0.25">
      <c r="A46" s="82" t="s">
        <v>89</v>
      </c>
    </row>
    <row r="47" spans="1:26" ht="18" x14ac:dyDescent="0.4">
      <c r="A47" s="82" t="s">
        <v>154</v>
      </c>
      <c r="B47" s="75">
        <f>B15-B44</f>
        <v>3599</v>
      </c>
      <c r="C47" s="143"/>
      <c r="D47" s="75">
        <f>D15-D44</f>
        <v>-12576</v>
      </c>
      <c r="E47" s="143"/>
      <c r="F47" s="75">
        <f>F15-F44</f>
        <v>-38780</v>
      </c>
      <c r="G47" s="144"/>
      <c r="H47" s="75">
        <f>H15-H44</f>
        <v>293169</v>
      </c>
      <c r="I47" s="143"/>
      <c r="J47" s="75">
        <f>J15-J44</f>
        <v>313056</v>
      </c>
      <c r="K47" s="143"/>
      <c r="L47" s="75">
        <f>L15-L44</f>
        <v>273015</v>
      </c>
      <c r="M47" s="143"/>
      <c r="N47" s="75">
        <f>N15-N44</f>
        <v>321849</v>
      </c>
      <c r="O47" s="143"/>
      <c r="P47" s="75">
        <f>P15-P44</f>
        <v>300480</v>
      </c>
      <c r="Q47" s="143"/>
      <c r="R47" s="75">
        <f>R15-R44</f>
        <v>234235</v>
      </c>
      <c r="T47" s="340">
        <f>+R47/P47-1</f>
        <v>-0.22046392438764639</v>
      </c>
    </row>
    <row r="48" spans="1:26" ht="7.5" customHeight="1" x14ac:dyDescent="0.25"/>
    <row r="49" spans="1:20" x14ac:dyDescent="0.25">
      <c r="A49" s="124" t="s">
        <v>16</v>
      </c>
    </row>
    <row r="50" spans="1:20" x14ac:dyDescent="0.25">
      <c r="A50" s="82" t="s">
        <v>445</v>
      </c>
      <c r="B50" s="254">
        <v>150000</v>
      </c>
      <c r="C50" s="174"/>
      <c r="D50" s="254">
        <f>'Estimating Schedule - SRF'!G47</f>
        <v>225000</v>
      </c>
      <c r="E50" s="174"/>
      <c r="F50" s="517">
        <f>-L52</f>
        <v>225000</v>
      </c>
      <c r="G50" s="174"/>
      <c r="H50" s="254">
        <v>0</v>
      </c>
      <c r="I50" s="174"/>
      <c r="J50" s="174">
        <f>'Estimating Schedule - SRF'!M47</f>
        <v>0</v>
      </c>
      <c r="K50" s="174"/>
      <c r="L50" s="174">
        <v>0</v>
      </c>
      <c r="N50" s="254">
        <f>H50+B50</f>
        <v>150000</v>
      </c>
      <c r="O50" s="174"/>
      <c r="P50" s="254">
        <f>J50+D50</f>
        <v>225000</v>
      </c>
      <c r="Q50" s="173"/>
      <c r="R50" s="517">
        <f>L50+F50</f>
        <v>225000</v>
      </c>
      <c r="T50" s="217">
        <v>-1</v>
      </c>
    </row>
    <row r="51" spans="1:20" x14ac:dyDescent="0.25">
      <c r="A51" s="82" t="s">
        <v>485</v>
      </c>
      <c r="B51" s="254">
        <v>-130000</v>
      </c>
      <c r="C51" s="174"/>
      <c r="D51" s="254">
        <f>'Estimating Schedule - SRF'!G48</f>
        <v>-135000</v>
      </c>
      <c r="E51" s="174"/>
      <c r="F51" s="517">
        <v>-175000</v>
      </c>
      <c r="G51" s="174"/>
      <c r="H51" s="174">
        <v>0</v>
      </c>
      <c r="I51" s="174"/>
      <c r="J51" s="174">
        <f>'Estimating Schedule - SRF'!M48</f>
        <v>0</v>
      </c>
      <c r="K51" s="173"/>
      <c r="L51" s="254">
        <v>0</v>
      </c>
      <c r="N51" s="254">
        <f>H51+B51</f>
        <v>-130000</v>
      </c>
      <c r="O51" s="174"/>
      <c r="P51" s="254">
        <f>J51+D51</f>
        <v>-135000</v>
      </c>
      <c r="Q51" s="173"/>
      <c r="R51" s="254">
        <f>L51+F51</f>
        <v>-175000</v>
      </c>
      <c r="T51" s="217">
        <f t="shared" ref="T51" si="6">+R51/P51-1</f>
        <v>0.29629629629629628</v>
      </c>
    </row>
    <row r="52" spans="1:20" x14ac:dyDescent="0.25">
      <c r="A52" s="82" t="s">
        <v>486</v>
      </c>
      <c r="B52" s="254">
        <v>0</v>
      </c>
      <c r="C52" s="174"/>
      <c r="D52" s="254">
        <f>'Estimating Schedule - SRF'!G49</f>
        <v>0</v>
      </c>
      <c r="E52" s="174"/>
      <c r="F52" s="174">
        <v>0</v>
      </c>
      <c r="H52" s="517">
        <v>-150000</v>
      </c>
      <c r="I52" s="174"/>
      <c r="J52" s="254">
        <f>'Estimating Schedule - SRF'!M49</f>
        <v>-225000</v>
      </c>
      <c r="K52" s="174"/>
      <c r="L52" s="254">
        <v>-225000</v>
      </c>
      <c r="M52" s="174"/>
      <c r="N52" s="254">
        <f>H52+B52</f>
        <v>-150000</v>
      </c>
      <c r="O52" s="174"/>
      <c r="P52" s="254">
        <f>J52+D52</f>
        <v>-225000</v>
      </c>
      <c r="Q52" s="173"/>
      <c r="R52" s="254">
        <f>L52+F52</f>
        <v>-225000</v>
      </c>
      <c r="T52" s="217">
        <v>-1</v>
      </c>
    </row>
    <row r="53" spans="1:20" ht="18" x14ac:dyDescent="0.4">
      <c r="A53" s="82" t="s">
        <v>572</v>
      </c>
      <c r="B53" s="172">
        <v>0</v>
      </c>
      <c r="C53" s="172"/>
      <c r="D53" s="286">
        <f>'Estimating Schedule - SRF'!G50</f>
        <v>0</v>
      </c>
      <c r="E53" s="172"/>
      <c r="F53" s="172">
        <v>0</v>
      </c>
      <c r="H53" s="125">
        <v>-23954</v>
      </c>
      <c r="J53" s="163">
        <f>-'Debt Service Funds'!G26</f>
        <v>6398</v>
      </c>
      <c r="L53" s="125">
        <f>-'Debt Service Funds'!I26</f>
        <v>0</v>
      </c>
      <c r="N53" s="75">
        <f>H53+B53</f>
        <v>-23954</v>
      </c>
      <c r="P53" s="75">
        <f>J53+D53</f>
        <v>6398</v>
      </c>
      <c r="R53" s="75">
        <f>L53+F53</f>
        <v>0</v>
      </c>
      <c r="T53" s="340">
        <f>+R53/P53-1</f>
        <v>-1</v>
      </c>
    </row>
    <row r="54" spans="1:20" ht="18" x14ac:dyDescent="0.4">
      <c r="A54" s="82" t="s">
        <v>489</v>
      </c>
      <c r="B54" s="172"/>
      <c r="C54" s="172"/>
      <c r="D54" s="286"/>
      <c r="E54" s="172"/>
      <c r="F54" s="172"/>
      <c r="H54" s="125"/>
      <c r="J54" s="163"/>
      <c r="L54" s="125"/>
      <c r="N54" s="75"/>
      <c r="P54" s="75"/>
      <c r="R54" s="75"/>
      <c r="T54" s="340"/>
    </row>
    <row r="55" spans="1:20" ht="18" x14ac:dyDescent="0.4">
      <c r="A55" s="82" t="s">
        <v>490</v>
      </c>
      <c r="B55" s="253">
        <f>SUM(B50:B53)</f>
        <v>20000</v>
      </c>
      <c r="C55" s="172"/>
      <c r="D55" s="253">
        <f>SUM(D50:D53)</f>
        <v>90000</v>
      </c>
      <c r="E55" s="172"/>
      <c r="F55" s="561">
        <f>SUM(F50:F53)</f>
        <v>50000</v>
      </c>
      <c r="H55" s="125">
        <f>SUM(H50:H53)</f>
        <v>-173954</v>
      </c>
      <c r="J55" s="125">
        <f>SUM(J50:J53)</f>
        <v>-218602</v>
      </c>
      <c r="L55" s="125">
        <f>SUM(L50:L53)</f>
        <v>-225000</v>
      </c>
      <c r="N55" s="125">
        <f>SUM(N50:N53)</f>
        <v>-153954</v>
      </c>
      <c r="P55" s="125">
        <f>SUM(P50:P53)</f>
        <v>-128602</v>
      </c>
      <c r="R55" s="125">
        <f>SUM(R50:R53)</f>
        <v>-175000</v>
      </c>
      <c r="T55" s="340">
        <f>+R55/P55-1</f>
        <v>0.3607875460723784</v>
      </c>
    </row>
    <row r="56" spans="1:20" ht="7.5" customHeight="1" x14ac:dyDescent="0.4">
      <c r="B56" s="125"/>
      <c r="D56" s="125"/>
      <c r="F56" s="125"/>
      <c r="H56" s="125"/>
      <c r="J56" s="125"/>
      <c r="L56" s="125"/>
      <c r="N56" s="125"/>
      <c r="P56" s="125"/>
      <c r="R56" s="125"/>
    </row>
    <row r="57" spans="1:20" ht="15" customHeight="1" x14ac:dyDescent="0.4">
      <c r="A57" s="82" t="s">
        <v>165</v>
      </c>
      <c r="B57" s="125"/>
      <c r="D57" s="125"/>
      <c r="F57" s="125"/>
      <c r="H57" s="125"/>
      <c r="J57" s="125"/>
      <c r="L57" s="125"/>
      <c r="N57" s="125"/>
      <c r="P57" s="125"/>
      <c r="R57" s="125"/>
    </row>
    <row r="58" spans="1:20" x14ac:dyDescent="0.25">
      <c r="A58" s="82" t="s">
        <v>487</v>
      </c>
    </row>
    <row r="59" spans="1:20" x14ac:dyDescent="0.25">
      <c r="A59" s="82" t="s">
        <v>488</v>
      </c>
      <c r="B59" s="72">
        <f>B47+B55</f>
        <v>23599</v>
      </c>
      <c r="D59" s="72">
        <f>D47+D55</f>
        <v>77424</v>
      </c>
      <c r="F59" s="72">
        <f>F47+F55</f>
        <v>11220</v>
      </c>
      <c r="H59" s="72">
        <f>H55+H47</f>
        <v>119215</v>
      </c>
      <c r="J59" s="72">
        <f>J55+J47</f>
        <v>94454</v>
      </c>
      <c r="L59" s="72">
        <f>L55+L47</f>
        <v>48015</v>
      </c>
      <c r="N59" s="72">
        <f>N55+N47</f>
        <v>167895</v>
      </c>
      <c r="P59" s="72">
        <f>P55+P47</f>
        <v>171878</v>
      </c>
      <c r="R59" s="72">
        <f>R55+R47</f>
        <v>59235</v>
      </c>
      <c r="T59" s="217">
        <f>+R59/P59-1</f>
        <v>-0.65536601542954886</v>
      </c>
    </row>
    <row r="60" spans="1:20" ht="7.5" customHeight="1" x14ac:dyDescent="0.25"/>
    <row r="61" spans="1:20" ht="18" x14ac:dyDescent="0.4">
      <c r="A61" s="124" t="s">
        <v>155</v>
      </c>
      <c r="B61" s="75">
        <v>62667</v>
      </c>
      <c r="D61" s="75">
        <f>B62</f>
        <v>86266</v>
      </c>
      <c r="F61" s="75">
        <f>D62</f>
        <v>163690</v>
      </c>
      <c r="H61" s="75">
        <v>84412</v>
      </c>
      <c r="J61" s="75">
        <f>H62</f>
        <v>203627</v>
      </c>
      <c r="L61" s="75">
        <f>J62</f>
        <v>298081</v>
      </c>
      <c r="N61" s="125">
        <f>B61+H61</f>
        <v>147079</v>
      </c>
      <c r="P61" s="75">
        <f>J61+D61</f>
        <v>289893</v>
      </c>
      <c r="R61" s="75">
        <f>L61+F61</f>
        <v>461771</v>
      </c>
      <c r="T61" s="340">
        <f>+R61/P61-1</f>
        <v>0.5929015188362603</v>
      </c>
    </row>
    <row r="62" spans="1:20" ht="18" x14ac:dyDescent="0.4">
      <c r="A62" s="124" t="s">
        <v>108</v>
      </c>
      <c r="B62" s="141">
        <f>B59+B61</f>
        <v>86266</v>
      </c>
      <c r="C62" s="72"/>
      <c r="D62" s="141">
        <f>D59+D61</f>
        <v>163690</v>
      </c>
      <c r="E62" s="72"/>
      <c r="F62" s="141">
        <f>F59+F61</f>
        <v>174910</v>
      </c>
      <c r="G62" s="72"/>
      <c r="H62" s="141">
        <f>H61+H59</f>
        <v>203627</v>
      </c>
      <c r="I62" s="72"/>
      <c r="J62" s="141">
        <f>J61+J59</f>
        <v>298081</v>
      </c>
      <c r="K62" s="72"/>
      <c r="L62" s="141">
        <f>L61+L59</f>
        <v>346096</v>
      </c>
      <c r="N62" s="141">
        <f>N61+N59</f>
        <v>314974</v>
      </c>
      <c r="O62" s="72"/>
      <c r="P62" s="141">
        <f>P61+P59</f>
        <v>461771</v>
      </c>
      <c r="Q62" s="72"/>
      <c r="R62" s="141">
        <f>R61+R59</f>
        <v>521006</v>
      </c>
      <c r="T62" s="341">
        <f>+R62/P62-1</f>
        <v>0.12827786933350072</v>
      </c>
    </row>
  </sheetData>
  <mergeCells count="4">
    <mergeCell ref="A5:R5"/>
    <mergeCell ref="A4:R4"/>
    <mergeCell ref="A3:R3"/>
    <mergeCell ref="A2:R2"/>
  </mergeCells>
  <phoneticPr fontId="0" type="noConversion"/>
  <pageMargins left="0.5" right="0" top="0.5" bottom="0.75" header="0.25" footer="0.25"/>
  <pageSetup scale="67" orientation="portrait" r:id="rId1"/>
  <headerFooter alignWithMargins="0">
    <oddFooter>&amp;L&amp;"Times New Roman,Regular"&amp;9&amp;D &amp;C&amp;"Times New Roman,Regular"&amp;9&amp;Z&amp;F&amp;R&amp;"Times New Roman,Regular"&amp;9&amp;A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tabColor rgb="FF7030A0"/>
  </sheetPr>
  <dimension ref="A1:R33"/>
  <sheetViews>
    <sheetView view="pageBreakPreview" zoomScaleNormal="75" workbookViewId="0">
      <selection activeCell="E23" sqref="E23"/>
    </sheetView>
  </sheetViews>
  <sheetFormatPr defaultColWidth="9.77734375" defaultRowHeight="15.75" x14ac:dyDescent="0.25"/>
  <cols>
    <col min="1" max="1" width="13.21875" style="1" customWidth="1"/>
    <col min="2" max="2" width="9.6640625" style="1" customWidth="1"/>
    <col min="3" max="3" width="2.33203125" style="1" customWidth="1"/>
    <col min="4" max="4" width="1.77734375" style="1" customWidth="1"/>
    <col min="5" max="5" width="8.88671875" style="22" customWidth="1"/>
    <col min="6" max="6" width="1.77734375" style="1" customWidth="1"/>
    <col min="7" max="7" width="8.44140625" style="22" bestFit="1" customWidth="1"/>
    <col min="8" max="8" width="1.77734375" style="1" customWidth="1"/>
    <col min="9" max="9" width="9.77734375" style="22"/>
    <col min="10" max="10" width="5.77734375" style="1" hidden="1" customWidth="1"/>
    <col min="11" max="11" width="0" style="22" hidden="1" customWidth="1"/>
    <col min="12" max="12" width="1.77734375" style="1" hidden="1" customWidth="1"/>
    <col min="13" max="13" width="0" style="22" hidden="1" customWidth="1"/>
    <col min="14" max="14" width="1.77734375" style="1" hidden="1" customWidth="1"/>
    <col min="15" max="15" width="0" style="22" hidden="1" customWidth="1"/>
    <col min="16" max="16" width="2" style="1" customWidth="1"/>
    <col min="17" max="17" width="9.6640625" style="1" customWidth="1"/>
    <col min="18" max="16384" width="9.77734375" style="1"/>
  </cols>
  <sheetData>
    <row r="1" spans="1:17" x14ac:dyDescent="0.25">
      <c r="P1" s="20"/>
      <c r="Q1" s="20" t="s">
        <v>323</v>
      </c>
    </row>
    <row r="2" spans="1:17" x14ac:dyDescent="0.25">
      <c r="A2" s="623" t="s">
        <v>47</v>
      </c>
      <c r="B2" s="623"/>
      <c r="C2" s="623"/>
      <c r="D2" s="623"/>
      <c r="E2" s="623"/>
      <c r="F2" s="623"/>
      <c r="G2" s="623"/>
      <c r="H2" s="623"/>
      <c r="I2" s="623"/>
      <c r="J2" s="623"/>
      <c r="K2" s="623"/>
      <c r="L2" s="623"/>
      <c r="M2" s="623"/>
      <c r="N2" s="623"/>
      <c r="O2" s="623"/>
      <c r="P2" s="623"/>
      <c r="Q2" s="623"/>
    </row>
    <row r="3" spans="1:17" x14ac:dyDescent="0.25">
      <c r="A3" s="623" t="s">
        <v>335</v>
      </c>
      <c r="B3" s="623"/>
      <c r="C3" s="623"/>
      <c r="D3" s="623"/>
      <c r="E3" s="623"/>
      <c r="F3" s="623"/>
      <c r="G3" s="623"/>
      <c r="H3" s="623"/>
      <c r="I3" s="623"/>
      <c r="J3" s="623"/>
      <c r="K3" s="623"/>
      <c r="L3" s="623"/>
      <c r="M3" s="623"/>
      <c r="N3" s="623"/>
      <c r="O3" s="623"/>
      <c r="P3" s="623"/>
      <c r="Q3" s="623"/>
    </row>
    <row r="4" spans="1:17" x14ac:dyDescent="0.25">
      <c r="A4" s="623" t="s">
        <v>496</v>
      </c>
      <c r="B4" s="623"/>
      <c r="C4" s="623"/>
      <c r="D4" s="623"/>
      <c r="E4" s="623"/>
      <c r="F4" s="623"/>
      <c r="G4" s="623"/>
      <c r="H4" s="623"/>
      <c r="I4" s="623"/>
      <c r="J4" s="623"/>
      <c r="K4" s="623"/>
      <c r="L4" s="623"/>
      <c r="M4" s="623"/>
      <c r="N4" s="623"/>
      <c r="O4" s="623"/>
      <c r="P4" s="623"/>
      <c r="Q4" s="623"/>
    </row>
    <row r="5" spans="1:17" x14ac:dyDescent="0.25">
      <c r="A5" s="623" t="s">
        <v>555</v>
      </c>
      <c r="B5" s="623"/>
      <c r="C5" s="623"/>
      <c r="D5" s="623"/>
      <c r="E5" s="623"/>
      <c r="F5" s="623"/>
      <c r="G5" s="623"/>
      <c r="H5" s="623"/>
      <c r="I5" s="623"/>
      <c r="J5" s="623"/>
      <c r="K5" s="623"/>
      <c r="L5" s="623"/>
      <c r="M5" s="623"/>
      <c r="N5" s="623"/>
      <c r="O5" s="623"/>
      <c r="P5" s="623"/>
      <c r="Q5" s="623"/>
    </row>
    <row r="8" spans="1:17" x14ac:dyDescent="0.25">
      <c r="E8" s="629" t="s">
        <v>109</v>
      </c>
      <c r="F8" s="629"/>
      <c r="G8" s="629"/>
      <c r="H8" s="629"/>
      <c r="I8" s="629"/>
      <c r="K8" s="33" t="s">
        <v>109</v>
      </c>
      <c r="L8" s="6"/>
      <c r="M8" s="24"/>
      <c r="N8" s="6"/>
      <c r="O8" s="24"/>
    </row>
    <row r="9" spans="1:17" x14ac:dyDescent="0.25">
      <c r="C9" s="77"/>
      <c r="D9" s="77"/>
      <c r="E9" s="76">
        <v>2017</v>
      </c>
      <c r="F9" s="77"/>
      <c r="G9" s="76">
        <f>E9+1</f>
        <v>2018</v>
      </c>
      <c r="H9" s="77"/>
      <c r="I9" s="76">
        <f>G9+1</f>
        <v>2019</v>
      </c>
      <c r="J9" s="77"/>
      <c r="K9" s="76" t="e">
        <f>#REF!</f>
        <v>#REF!</v>
      </c>
      <c r="L9" s="77"/>
      <c r="M9" s="76" t="e">
        <f>#REF!</f>
        <v>#REF!</v>
      </c>
      <c r="N9" s="77"/>
      <c r="O9" s="76" t="e">
        <f>#REF!</f>
        <v>#REF!</v>
      </c>
    </row>
    <row r="10" spans="1:17" x14ac:dyDescent="0.25">
      <c r="E10" s="48" t="s">
        <v>83</v>
      </c>
      <c r="G10" s="48" t="s">
        <v>84</v>
      </c>
      <c r="I10" s="48" t="s">
        <v>85</v>
      </c>
      <c r="K10" s="48" t="s">
        <v>83</v>
      </c>
      <c r="M10" s="48" t="s">
        <v>84</v>
      </c>
      <c r="O10" s="48" t="s">
        <v>85</v>
      </c>
    </row>
    <row r="11" spans="1:17" x14ac:dyDescent="0.25">
      <c r="A11" s="2" t="s">
        <v>0</v>
      </c>
      <c r="E11" s="31"/>
      <c r="G11" s="31"/>
      <c r="I11" s="31"/>
      <c r="K11" s="31"/>
      <c r="M11" s="31"/>
      <c r="O11" s="31"/>
    </row>
    <row r="12" spans="1:17" x14ac:dyDescent="0.25">
      <c r="A12" s="1" t="s">
        <v>158</v>
      </c>
      <c r="E12" s="31"/>
      <c r="G12" s="31"/>
      <c r="I12" s="31"/>
      <c r="K12" s="31"/>
      <c r="M12" s="31"/>
      <c r="O12" s="31"/>
    </row>
    <row r="13" spans="1:17" ht="18" x14ac:dyDescent="0.4">
      <c r="A13" s="1" t="s">
        <v>159</v>
      </c>
      <c r="E13" s="284">
        <v>0</v>
      </c>
      <c r="F13" s="193"/>
      <c r="G13" s="284">
        <f>'Estimating Schedule - DSF'!K14</f>
        <v>0</v>
      </c>
      <c r="H13" s="193"/>
      <c r="I13" s="284">
        <v>0</v>
      </c>
      <c r="K13" s="45" t="e">
        <f>E13+#REF!</f>
        <v>#REF!</v>
      </c>
      <c r="M13" s="45" t="e">
        <f>G13+#REF!</f>
        <v>#REF!</v>
      </c>
      <c r="O13" s="45" t="e">
        <f>I13+#REF!</f>
        <v>#REF!</v>
      </c>
      <c r="Q13" s="297">
        <v>0</v>
      </c>
    </row>
    <row r="14" spans="1:17" x14ac:dyDescent="0.25">
      <c r="E14" s="31"/>
      <c r="G14" s="31"/>
      <c r="I14" s="31"/>
      <c r="K14" s="31"/>
      <c r="M14" s="31"/>
      <c r="O14" s="31"/>
    </row>
    <row r="15" spans="1:17" x14ac:dyDescent="0.25">
      <c r="A15" s="2" t="s">
        <v>7</v>
      </c>
      <c r="E15" s="31"/>
      <c r="G15" s="31"/>
      <c r="I15" s="31"/>
      <c r="K15" s="31"/>
      <c r="M15" s="31"/>
      <c r="O15" s="31"/>
    </row>
    <row r="16" spans="1:17" x14ac:dyDescent="0.25">
      <c r="A16" s="1" t="s">
        <v>160</v>
      </c>
      <c r="E16" s="31"/>
      <c r="G16" s="31"/>
      <c r="I16" s="31"/>
      <c r="K16" s="31"/>
      <c r="M16" s="31"/>
      <c r="O16" s="31"/>
    </row>
    <row r="17" spans="1:18" x14ac:dyDescent="0.25">
      <c r="A17" s="1" t="s">
        <v>161</v>
      </c>
      <c r="E17" s="31">
        <v>56000</v>
      </c>
      <c r="G17" s="31">
        <f>'Estimating Schedule - DSF'!K18</f>
        <v>0</v>
      </c>
      <c r="I17" s="31">
        <v>0</v>
      </c>
      <c r="K17" s="31" t="e">
        <f>E17+#REF!</f>
        <v>#REF!</v>
      </c>
      <c r="M17" s="31" t="e">
        <f>G17+#REF!</f>
        <v>#REF!</v>
      </c>
      <c r="O17" s="31" t="e">
        <f>I17+#REF!</f>
        <v>#REF!</v>
      </c>
      <c r="Q17" s="216">
        <v>0</v>
      </c>
      <c r="R17" s="49"/>
    </row>
    <row r="18" spans="1:18" x14ac:dyDescent="0.25">
      <c r="A18" s="1" t="s">
        <v>162</v>
      </c>
      <c r="E18" s="31">
        <v>1490</v>
      </c>
      <c r="G18" s="31">
        <f>'Estimating Schedule - DSF'!K19</f>
        <v>0</v>
      </c>
      <c r="I18" s="31">
        <v>0</v>
      </c>
      <c r="K18" s="31" t="e">
        <f>E18+#REF!</f>
        <v>#REF!</v>
      </c>
      <c r="M18" s="31" t="e">
        <f>G18+#REF!</f>
        <v>#REF!</v>
      </c>
      <c r="O18" s="31" t="e">
        <f>I18+#REF!</f>
        <v>#REF!</v>
      </c>
      <c r="Q18" s="216">
        <v>0</v>
      </c>
    </row>
    <row r="19" spans="1:18" ht="18" x14ac:dyDescent="0.4">
      <c r="A19" s="1" t="s">
        <v>163</v>
      </c>
      <c r="E19" s="75">
        <v>800</v>
      </c>
      <c r="G19" s="80">
        <f>'Estimating Schedule - DSF'!K20</f>
        <v>0</v>
      </c>
      <c r="I19" s="45">
        <v>0</v>
      </c>
      <c r="K19" s="45" t="e">
        <f>E19+#REF!</f>
        <v>#REF!</v>
      </c>
      <c r="M19" s="45" t="e">
        <f>G19+#REF!</f>
        <v>#REF!</v>
      </c>
      <c r="O19" s="45" t="e">
        <f>I19+#REF!</f>
        <v>#REF!</v>
      </c>
      <c r="Q19" s="297">
        <v>0</v>
      </c>
    </row>
    <row r="20" spans="1:18" ht="18" x14ac:dyDescent="0.4">
      <c r="A20" s="1" t="s">
        <v>164</v>
      </c>
      <c r="E20" s="45">
        <f>SUM(E16:E19)</f>
        <v>58290</v>
      </c>
      <c r="G20" s="45">
        <f>SUM(G17:G19)</f>
        <v>0</v>
      </c>
      <c r="I20" s="45">
        <f>SUM(I17:I19)</f>
        <v>0</v>
      </c>
      <c r="K20" s="45" t="e">
        <f>SUM(K16:K19)</f>
        <v>#REF!</v>
      </c>
      <c r="M20" s="45" t="e">
        <f>SUM(M16:M19)</f>
        <v>#REF!</v>
      </c>
      <c r="O20" s="45" t="e">
        <f>SUM(O16:O19)</f>
        <v>#REF!</v>
      </c>
      <c r="Q20" s="297">
        <v>0</v>
      </c>
    </row>
    <row r="21" spans="1:18" x14ac:dyDescent="0.25">
      <c r="E21" s="31"/>
      <c r="G21" s="31"/>
      <c r="I21" s="31"/>
      <c r="K21" s="31"/>
      <c r="M21" s="31"/>
      <c r="O21" s="31"/>
    </row>
    <row r="22" spans="1:18" x14ac:dyDescent="0.25">
      <c r="A22" s="1" t="s">
        <v>455</v>
      </c>
      <c r="E22" s="31"/>
      <c r="G22" s="31"/>
      <c r="I22" s="31"/>
      <c r="K22" s="31"/>
      <c r="M22" s="31"/>
      <c r="O22" s="31"/>
    </row>
    <row r="23" spans="1:18" ht="18" x14ac:dyDescent="0.4">
      <c r="A23" s="1" t="s">
        <v>286</v>
      </c>
      <c r="E23" s="36">
        <f>E13-E20</f>
        <v>-58290</v>
      </c>
      <c r="G23" s="36">
        <f>G13-G20</f>
        <v>0</v>
      </c>
      <c r="H23" s="36"/>
      <c r="I23" s="36">
        <f>I13-I20</f>
        <v>0</v>
      </c>
      <c r="J23" s="145"/>
      <c r="K23" s="45" t="e">
        <f>#REF!-#REF!</f>
        <v>#REF!</v>
      </c>
      <c r="L23" s="145"/>
      <c r="M23" s="45" t="e">
        <f>#REF!-#REF!</f>
        <v>#REF!</v>
      </c>
      <c r="N23" s="145"/>
      <c r="O23" s="45" t="e">
        <f>#REF!-#REF!</f>
        <v>#REF!</v>
      </c>
      <c r="Q23" s="216">
        <v>0</v>
      </c>
    </row>
    <row r="24" spans="1:18" x14ac:dyDescent="0.25">
      <c r="E24" s="31"/>
      <c r="G24" s="31"/>
      <c r="I24" s="31"/>
      <c r="K24" s="31"/>
      <c r="M24" s="31"/>
      <c r="O24" s="31"/>
    </row>
    <row r="25" spans="1:18" x14ac:dyDescent="0.25">
      <c r="A25" s="2" t="s">
        <v>474</v>
      </c>
    </row>
    <row r="26" spans="1:18" ht="18" x14ac:dyDescent="0.4">
      <c r="A26" s="1" t="s">
        <v>223</v>
      </c>
      <c r="E26" s="191">
        <v>23954</v>
      </c>
      <c r="F26" s="145"/>
      <c r="G26" s="191">
        <f>'Estimating Schedule - DSF'!K27</f>
        <v>-6398</v>
      </c>
      <c r="H26" s="145"/>
      <c r="I26" s="191">
        <v>0</v>
      </c>
      <c r="K26" s="31" t="e">
        <f>E26+#REF!</f>
        <v>#REF!</v>
      </c>
      <c r="M26" s="31" t="e">
        <f>G26+#REF!</f>
        <v>#REF!</v>
      </c>
      <c r="O26" s="31" t="e">
        <f>I26+#REF!</f>
        <v>#REF!</v>
      </c>
      <c r="Q26" s="297">
        <f>+I26/G26-1</f>
        <v>-1</v>
      </c>
    </row>
    <row r="28" spans="1:18" x14ac:dyDescent="0.25">
      <c r="A28" s="1" t="s">
        <v>454</v>
      </c>
    </row>
    <row r="29" spans="1:18" x14ac:dyDescent="0.25">
      <c r="A29" s="1" t="s">
        <v>18</v>
      </c>
      <c r="E29" s="22">
        <f>E23+E26</f>
        <v>-34336</v>
      </c>
      <c r="G29" s="22">
        <f>G23+G26</f>
        <v>-6398</v>
      </c>
      <c r="I29" s="22">
        <f>I23+I26</f>
        <v>0</v>
      </c>
      <c r="K29" s="22" t="e">
        <f>K23+#REF!</f>
        <v>#REF!</v>
      </c>
      <c r="M29" s="22" t="e">
        <f>M23+#REF!</f>
        <v>#REF!</v>
      </c>
      <c r="N29" s="1" t="s">
        <v>19</v>
      </c>
      <c r="O29" s="22" t="e">
        <f>O23+#REF!</f>
        <v>#REF!</v>
      </c>
      <c r="Q29" s="216">
        <f>+I29/G29-1</f>
        <v>-1</v>
      </c>
    </row>
    <row r="31" spans="1:18" ht="18" x14ac:dyDescent="0.4">
      <c r="A31" s="2" t="s">
        <v>155</v>
      </c>
      <c r="E31" s="45">
        <v>40734</v>
      </c>
      <c r="G31" s="45">
        <f>E33</f>
        <v>6398</v>
      </c>
      <c r="I31" s="45">
        <f>G33</f>
        <v>0</v>
      </c>
      <c r="K31" s="45" t="e">
        <f>E31+#REF!</f>
        <v>#REF!</v>
      </c>
      <c r="M31" s="45" t="e">
        <f>K33</f>
        <v>#REF!</v>
      </c>
      <c r="O31" s="45" t="e">
        <f>M33</f>
        <v>#REF!</v>
      </c>
      <c r="Q31" s="297">
        <f>+I31/G31-1</f>
        <v>-1</v>
      </c>
    </row>
    <row r="32" spans="1:18" x14ac:dyDescent="0.25">
      <c r="E32" s="31"/>
      <c r="G32" s="31"/>
      <c r="I32" s="31"/>
      <c r="K32" s="31"/>
      <c r="M32" s="31"/>
      <c r="O32" s="31"/>
    </row>
    <row r="33" spans="1:17" ht="18" x14ac:dyDescent="0.4">
      <c r="A33" s="2" t="s">
        <v>108</v>
      </c>
      <c r="E33" s="142">
        <f>E29+E31</f>
        <v>6398</v>
      </c>
      <c r="F33" s="3"/>
      <c r="G33" s="142">
        <f>G29+G31</f>
        <v>0</v>
      </c>
      <c r="H33" s="3"/>
      <c r="I33" s="142">
        <f>I29+I31</f>
        <v>0</v>
      </c>
      <c r="K33" s="142" t="e">
        <f>K29+K31</f>
        <v>#REF!</v>
      </c>
      <c r="L33" s="3"/>
      <c r="M33" s="142" t="e">
        <f>M29+M31</f>
        <v>#REF!</v>
      </c>
      <c r="N33" s="3"/>
      <c r="O33" s="142" t="e">
        <f>O29+O31</f>
        <v>#REF!</v>
      </c>
      <c r="Q33" s="316" t="e">
        <f>+I33/G33-1</f>
        <v>#DIV/0!</v>
      </c>
    </row>
  </sheetData>
  <mergeCells count="5">
    <mergeCell ref="E8:I8"/>
    <mergeCell ref="A2:Q2"/>
    <mergeCell ref="A3:Q3"/>
    <mergeCell ref="A5:Q5"/>
    <mergeCell ref="A4:Q4"/>
  </mergeCells>
  <phoneticPr fontId="0" type="noConversion"/>
  <pageMargins left="1" right="1" top="0.5" bottom="0.25" header="0.25" footer="0"/>
  <pageSetup scale="99" orientation="portrait" r:id="rId1"/>
  <headerFooter alignWithMargins="0">
    <oddFooter>&amp;L&amp;"Times New Roman,Regular"&amp;9&amp;D &amp;C&amp;"Times New Roman,Regular"&amp;9&amp;Z&amp;F&amp;R&amp;"Times New Roman,Regular"&amp;9&amp;A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Budget Ordinances</vt:lpstr>
      <vt:lpstr>Title Page</vt:lpstr>
      <vt:lpstr> Table of contents</vt:lpstr>
      <vt:lpstr> Budget message</vt:lpstr>
      <vt:lpstr>Consolidated Budget</vt:lpstr>
      <vt:lpstr>Capital Outlay Budget Request</vt:lpstr>
      <vt:lpstr>General Fund</vt:lpstr>
      <vt:lpstr>Sales Tax Funds</vt:lpstr>
      <vt:lpstr>Debt Service Funds</vt:lpstr>
      <vt:lpstr>capital projects fund</vt:lpstr>
      <vt:lpstr>Utility Fund</vt:lpstr>
      <vt:lpstr>Utility Fund - analysis by dept</vt:lpstr>
      <vt:lpstr>Estimating Schedules-Divider </vt:lpstr>
      <vt:lpstr>Estimating Schedule - GF</vt:lpstr>
      <vt:lpstr>Estimating Schedule - SRF</vt:lpstr>
      <vt:lpstr>Estimating Schedule - DSF</vt:lpstr>
      <vt:lpstr>Estimating Schedule - UF</vt:lpstr>
      <vt:lpstr>Estimating Schedule - CPF</vt:lpstr>
      <vt:lpstr>'Budget Ordinances'!_3</vt:lpstr>
      <vt:lpstr>' Budget message'!Print_Area</vt:lpstr>
      <vt:lpstr>' Table of contents'!Print_Area</vt:lpstr>
      <vt:lpstr>'Budget Ordinances'!Print_Area</vt:lpstr>
      <vt:lpstr>'Capital Outlay Budget Request'!Print_Area</vt:lpstr>
      <vt:lpstr>'capital projects fund'!Print_Area</vt:lpstr>
      <vt:lpstr>'Consolidated Budget'!Print_Area</vt:lpstr>
      <vt:lpstr>'Debt Service Funds'!Print_Area</vt:lpstr>
      <vt:lpstr>'Estimating Schedule - CPF'!Print_Area</vt:lpstr>
      <vt:lpstr>'Estimating Schedule - DSF'!Print_Area</vt:lpstr>
      <vt:lpstr>'Estimating Schedule - GF'!Print_Area</vt:lpstr>
      <vt:lpstr>'Estimating Schedule - SRF'!Print_Area</vt:lpstr>
      <vt:lpstr>'Estimating Schedule - UF'!Print_Area</vt:lpstr>
      <vt:lpstr>'General Fund'!Print_Area</vt:lpstr>
      <vt:lpstr>'Sales Tax Funds'!Print_Area</vt:lpstr>
      <vt:lpstr>'Title Page'!Print_Area</vt:lpstr>
      <vt:lpstr>'Utility Fund'!Print_Area</vt:lpstr>
      <vt:lpstr>'Utility Fund - analysis by dept'!Print_Area</vt:lpstr>
    </vt:vector>
  </TitlesOfParts>
  <Company>Kolder,Champagne,Slaven&amp;Rainey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D. Perry</dc:creator>
  <cp:lastModifiedBy>Toria</cp:lastModifiedBy>
  <cp:lastPrinted>2018-09-25T18:49:24Z</cp:lastPrinted>
  <dcterms:created xsi:type="dcterms:W3CDTF">1998-07-02T16:11:10Z</dcterms:created>
  <dcterms:modified xsi:type="dcterms:W3CDTF">2018-09-26T13:48:24Z</dcterms:modified>
</cp:coreProperties>
</file>